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Ｄ-data\協会・組合\愛知県協会\標識部会ＨＰ記事更新データ\２０１８．８．１\"/>
    </mc:Choice>
  </mc:AlternateContent>
  <bookViews>
    <workbookView xWindow="0" yWindow="0" windowWidth="19200" windowHeight="11610" tabRatio="649"/>
  </bookViews>
  <sheets>
    <sheet name="F1(張出1.0m)" sheetId="2" r:id="rId1"/>
    <sheet name="F2(張出1.0m)" sheetId="1" r:id="rId2"/>
    <sheet name="F1(張出2.5m)" sheetId="5" r:id="rId3"/>
    <sheet name="F2(張出2.5m)" sheetId="4" r:id="rId4"/>
  </sheets>
  <definedNames>
    <definedName name="_xlnm.Print_Area" localSheetId="0">'F1(張出1.0m)'!$A$1:$M$58</definedName>
    <definedName name="_xlnm.Print_Area" localSheetId="2">'F1(張出2.5m)'!$A$1:$M$58</definedName>
    <definedName name="_xlnm.Print_Area" localSheetId="1">'F2(張出1.0m)'!$A$1:$M$58</definedName>
    <definedName name="_xlnm.Print_Area" localSheetId="3">'F2(張出2.5m)'!$A$1:$M$58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5" l="1"/>
  <c r="S66" i="5"/>
  <c r="R66" i="5"/>
  <c r="Q66" i="5"/>
  <c r="P66" i="5"/>
  <c r="P63" i="5"/>
  <c r="T63" i="5"/>
  <c r="S63" i="5"/>
  <c r="R63" i="5"/>
  <c r="Q63" i="5"/>
  <c r="J53" i="5"/>
  <c r="I53" i="5"/>
  <c r="M34" i="5"/>
  <c r="M33" i="5"/>
  <c r="M30" i="5"/>
  <c r="E13" i="5"/>
  <c r="D8" i="5"/>
  <c r="D7" i="5"/>
  <c r="D6" i="5"/>
  <c r="T64" i="4"/>
  <c r="S64" i="4"/>
  <c r="R64" i="4"/>
  <c r="Q64" i="4"/>
  <c r="P64" i="4"/>
  <c r="U1" i="5" l="1"/>
  <c r="T1" i="5" s="1"/>
  <c r="S1" i="5" s="1"/>
  <c r="R1" i="5" s="1"/>
  <c r="Q1" i="5" s="1"/>
  <c r="P1" i="5" s="1"/>
  <c r="E15" i="5" s="1"/>
  <c r="C53" i="5" s="1"/>
  <c r="U2" i="5"/>
  <c r="T2" i="5" s="1"/>
  <c r="S2" i="5" s="1"/>
  <c r="R2" i="5" s="1"/>
  <c r="Q2" i="5" s="1"/>
  <c r="P2" i="5" s="1"/>
  <c r="F7" i="5"/>
  <c r="J51" i="4"/>
  <c r="I51" i="4"/>
  <c r="M32" i="4"/>
  <c r="M31" i="4"/>
  <c r="M28" i="4"/>
  <c r="E13" i="4"/>
  <c r="D8" i="4"/>
  <c r="P2" i="4" s="1"/>
  <c r="D7" i="4"/>
  <c r="D6" i="4"/>
  <c r="R61" i="4" s="1"/>
  <c r="V48" i="5" l="1"/>
  <c r="J47" i="5" s="1"/>
  <c r="M47" i="5" s="1"/>
  <c r="V49" i="5"/>
  <c r="J49" i="5" s="1"/>
  <c r="M49" i="5" s="1"/>
  <c r="V77" i="4"/>
  <c r="U77" i="4" s="1"/>
  <c r="T77" i="4" s="1"/>
  <c r="S77" i="4" s="1"/>
  <c r="R77" i="4" s="1"/>
  <c r="Q77" i="4" s="1"/>
  <c r="P77" i="4" s="1"/>
  <c r="V7" i="5"/>
  <c r="G16" i="5" s="1"/>
  <c r="V10" i="5"/>
  <c r="V41" i="5"/>
  <c r="J44" i="5" s="1"/>
  <c r="M44" i="5" s="1"/>
  <c r="V26" i="5"/>
  <c r="G22" i="5" s="1"/>
  <c r="V11" i="5"/>
  <c r="V46" i="5"/>
  <c r="J48" i="5" s="1"/>
  <c r="M48" i="5" s="1"/>
  <c r="V33" i="5"/>
  <c r="K28" i="5" s="1"/>
  <c r="M28" i="5" s="1"/>
  <c r="V13" i="5"/>
  <c r="G17" i="5" s="1"/>
  <c r="V35" i="5"/>
  <c r="K31" i="5" s="1"/>
  <c r="M31" i="5" s="1"/>
  <c r="V21" i="5"/>
  <c r="I20" i="5" s="1"/>
  <c r="V16" i="5"/>
  <c r="G21" i="5" s="1"/>
  <c r="I21" i="5" s="1"/>
  <c r="V18" i="5"/>
  <c r="G25" i="5" s="1"/>
  <c r="I25" i="5" s="1"/>
  <c r="V37" i="5"/>
  <c r="K32" i="5" s="1"/>
  <c r="M32" i="5" s="1"/>
  <c r="V25" i="5"/>
  <c r="K20" i="5" s="1"/>
  <c r="M20" i="5" s="1"/>
  <c r="V9" i="5"/>
  <c r="K25" i="5" s="1"/>
  <c r="M25" i="5" s="1"/>
  <c r="V43" i="5"/>
  <c r="J45" i="5" s="1"/>
  <c r="M45" i="5" s="1"/>
  <c r="V24" i="5"/>
  <c r="K19" i="5" s="1"/>
  <c r="M19" i="5" s="1"/>
  <c r="V6" i="5"/>
  <c r="E16" i="5" s="1"/>
  <c r="V29" i="5"/>
  <c r="K23" i="5" s="1"/>
  <c r="M23" i="5" s="1"/>
  <c r="V12" i="5"/>
  <c r="E17" i="5" s="1"/>
  <c r="J17" i="5" s="1"/>
  <c r="V19" i="5"/>
  <c r="I18" i="5" s="1"/>
  <c r="V5" i="5"/>
  <c r="G15" i="5" s="1"/>
  <c r="V45" i="5"/>
  <c r="J46" i="5" s="1"/>
  <c r="M46" i="5" s="1"/>
  <c r="V31" i="5"/>
  <c r="K26" i="5" s="1"/>
  <c r="M26" i="5" s="1"/>
  <c r="V17" i="5"/>
  <c r="V8" i="5"/>
  <c r="K17" i="5" s="1"/>
  <c r="M17" i="5" s="1"/>
  <c r="V40" i="5"/>
  <c r="G44" i="5" s="1"/>
  <c r="V20" i="5"/>
  <c r="I19" i="5" s="1"/>
  <c r="V42" i="5"/>
  <c r="I45" i="5" s="1"/>
  <c r="V23" i="5"/>
  <c r="K18" i="5" s="1"/>
  <c r="M18" i="5" s="1"/>
  <c r="V28" i="5"/>
  <c r="K22" i="5" s="1"/>
  <c r="M22" i="5" s="1"/>
  <c r="V47" i="5"/>
  <c r="I42" i="5" s="1"/>
  <c r="V34" i="5"/>
  <c r="G31" i="5" s="1"/>
  <c r="V27" i="5"/>
  <c r="G23" i="5" s="1"/>
  <c r="V44" i="5"/>
  <c r="V30" i="5"/>
  <c r="G26" i="5" s="1"/>
  <c r="V14" i="5"/>
  <c r="E32" i="5" s="1"/>
  <c r="V4" i="5"/>
  <c r="V36" i="5"/>
  <c r="I32" i="5" s="1"/>
  <c r="V15" i="5"/>
  <c r="E21" i="5" s="1"/>
  <c r="J21" i="5" s="1"/>
  <c r="V39" i="5"/>
  <c r="V22" i="5"/>
  <c r="V32" i="5"/>
  <c r="U54" i="5" s="1"/>
  <c r="V1" i="4"/>
  <c r="U1" i="4" s="1"/>
  <c r="T1" i="4" s="1"/>
  <c r="S1" i="4" s="1"/>
  <c r="R1" i="4" s="1"/>
  <c r="Q1" i="4" s="1"/>
  <c r="S61" i="4"/>
  <c r="P61" i="4"/>
  <c r="T61" i="4"/>
  <c r="I17" i="4"/>
  <c r="Q61" i="4"/>
  <c r="H46" i="5" l="1"/>
  <c r="H47" i="5"/>
  <c r="M50" i="5"/>
  <c r="I10" i="5" s="1"/>
  <c r="E44" i="5"/>
  <c r="E49" i="5"/>
  <c r="E48" i="5"/>
  <c r="D53" i="5"/>
  <c r="K57" i="5"/>
  <c r="J57" i="5"/>
  <c r="I57" i="5"/>
  <c r="E57" i="5"/>
  <c r="K55" i="4"/>
  <c r="J55" i="4"/>
  <c r="I55" i="4"/>
  <c r="E55" i="4"/>
  <c r="G28" i="5"/>
  <c r="K21" i="5"/>
  <c r="M21" i="5" s="1"/>
  <c r="I16" i="5"/>
  <c r="Y57" i="5"/>
  <c r="Y55" i="5"/>
  <c r="X56" i="5"/>
  <c r="G20" i="5"/>
  <c r="G19" i="5"/>
  <c r="G18" i="5"/>
  <c r="Y56" i="5"/>
  <c r="I15" i="5"/>
  <c r="X57" i="5"/>
  <c r="U57" i="5" s="1"/>
  <c r="J15" i="5" s="1"/>
  <c r="X55" i="5"/>
  <c r="U55" i="5" s="1"/>
  <c r="J16" i="5" s="1"/>
  <c r="E53" i="5"/>
  <c r="Q66" i="2"/>
  <c r="P66" i="2"/>
  <c r="K16" i="5" l="1"/>
  <c r="M16" i="5" s="1"/>
  <c r="U56" i="5"/>
  <c r="K15" i="5"/>
  <c r="M15" i="5" s="1"/>
  <c r="M38" i="5" l="1"/>
  <c r="I9" i="5" s="1"/>
  <c r="T66" i="2"/>
  <c r="S66" i="2"/>
  <c r="R66" i="2"/>
  <c r="T63" i="2"/>
  <c r="S63" i="2"/>
  <c r="R63" i="2"/>
  <c r="Q63" i="2"/>
  <c r="P63" i="2"/>
  <c r="J53" i="2"/>
  <c r="I53" i="2"/>
  <c r="M34" i="2"/>
  <c r="M33" i="2"/>
  <c r="M30" i="2"/>
  <c r="E13" i="2"/>
  <c r="D8" i="2"/>
  <c r="D7" i="2"/>
  <c r="D6" i="2"/>
  <c r="T64" i="1"/>
  <c r="S64" i="1"/>
  <c r="R64" i="1"/>
  <c r="Q64" i="1"/>
  <c r="P64" i="1"/>
  <c r="J51" i="1"/>
  <c r="I51" i="1"/>
  <c r="M32" i="1"/>
  <c r="M31" i="1"/>
  <c r="M28" i="1"/>
  <c r="E13" i="1"/>
  <c r="D8" i="1"/>
  <c r="D7" i="1"/>
  <c r="D6" i="1"/>
  <c r="R61" i="1" s="1"/>
  <c r="I11" i="5" l="1"/>
  <c r="X77" i="1"/>
  <c r="W77" i="1" s="1"/>
  <c r="V77" i="1" s="1"/>
  <c r="U77" i="1" s="1"/>
  <c r="T77" i="1" s="1"/>
  <c r="S77" i="1" s="1"/>
  <c r="R77" i="1" s="1"/>
  <c r="Q77" i="1" s="1"/>
  <c r="P77" i="1" s="1"/>
  <c r="F7" i="1"/>
  <c r="U2" i="2"/>
  <c r="T2" i="2" s="1"/>
  <c r="S2" i="2" s="1"/>
  <c r="R2" i="2" s="1"/>
  <c r="Q2" i="2" s="1"/>
  <c r="P2" i="2" s="1"/>
  <c r="U1" i="2"/>
  <c r="T1" i="2"/>
  <c r="S1" i="2" s="1"/>
  <c r="R1" i="2" s="1"/>
  <c r="Q1" i="2" s="1"/>
  <c r="P1" i="2" s="1"/>
  <c r="F7" i="2"/>
  <c r="V1" i="1"/>
  <c r="U1" i="1" s="1"/>
  <c r="T1" i="1" s="1"/>
  <c r="S1" i="1" s="1"/>
  <c r="R1" i="1" s="1"/>
  <c r="Q1" i="1" s="1"/>
  <c r="P1" i="1" s="1"/>
  <c r="P2" i="1"/>
  <c r="Q61" i="1"/>
  <c r="I17" i="1"/>
  <c r="T61" i="1"/>
  <c r="P61" i="1"/>
  <c r="S61" i="1"/>
  <c r="V49" i="1" l="1"/>
  <c r="J47" i="1" s="1"/>
  <c r="M47" i="1" s="1"/>
  <c r="V48" i="1"/>
  <c r="J45" i="1" s="1"/>
  <c r="M45" i="1" s="1"/>
  <c r="V47" i="1"/>
  <c r="V39" i="2"/>
  <c r="E44" i="2" s="1"/>
  <c r="V49" i="2"/>
  <c r="J49" i="2" s="1"/>
  <c r="M49" i="2" s="1"/>
  <c r="V48" i="2"/>
  <c r="J47" i="2" s="1"/>
  <c r="M47" i="2" s="1"/>
  <c r="E51" i="1"/>
  <c r="I55" i="1"/>
  <c r="E55" i="1"/>
  <c r="K55" i="1"/>
  <c r="J55" i="1"/>
  <c r="V46" i="2"/>
  <c r="J48" i="2" s="1"/>
  <c r="M48" i="2" s="1"/>
  <c r="V42" i="2"/>
  <c r="I45" i="2" s="1"/>
  <c r="V37" i="2"/>
  <c r="K32" i="2" s="1"/>
  <c r="M32" i="2" s="1"/>
  <c r="V33" i="2"/>
  <c r="K28" i="2" s="1"/>
  <c r="M28" i="2" s="1"/>
  <c r="V29" i="2"/>
  <c r="K23" i="2" s="1"/>
  <c r="M23" i="2" s="1"/>
  <c r="V25" i="2"/>
  <c r="K20" i="2" s="1"/>
  <c r="M20" i="2" s="1"/>
  <c r="V21" i="2"/>
  <c r="I20" i="2" s="1"/>
  <c r="V17" i="2"/>
  <c r="V13" i="2"/>
  <c r="G17" i="2" s="1"/>
  <c r="V9" i="2"/>
  <c r="V45" i="2"/>
  <c r="J46" i="2" s="1"/>
  <c r="M46" i="2" s="1"/>
  <c r="V41" i="2"/>
  <c r="J44" i="2" s="1"/>
  <c r="M44" i="2" s="1"/>
  <c r="V36" i="2"/>
  <c r="I32" i="2" s="1"/>
  <c r="V32" i="2"/>
  <c r="V28" i="2"/>
  <c r="K22" i="2" s="1"/>
  <c r="M22" i="2" s="1"/>
  <c r="V24" i="2"/>
  <c r="K19" i="2" s="1"/>
  <c r="M19" i="2" s="1"/>
  <c r="V20" i="2"/>
  <c r="I19" i="2" s="1"/>
  <c r="V16" i="2"/>
  <c r="G21" i="2" s="1"/>
  <c r="I21" i="2" s="1"/>
  <c r="V12" i="2"/>
  <c r="E17" i="2" s="1"/>
  <c r="J17" i="2" s="1"/>
  <c r="V8" i="2"/>
  <c r="K17" i="2" s="1"/>
  <c r="M17" i="2" s="1"/>
  <c r="V6" i="2"/>
  <c r="E16" i="2" s="1"/>
  <c r="V44" i="2"/>
  <c r="V40" i="2"/>
  <c r="G44" i="2" s="1"/>
  <c r="V35" i="2"/>
  <c r="K31" i="2" s="1"/>
  <c r="M31" i="2" s="1"/>
  <c r="V31" i="2"/>
  <c r="K26" i="2" s="1"/>
  <c r="M26" i="2" s="1"/>
  <c r="V27" i="2"/>
  <c r="G23" i="2" s="1"/>
  <c r="V23" i="2"/>
  <c r="K18" i="2" s="1"/>
  <c r="M18" i="2" s="1"/>
  <c r="V19" i="2"/>
  <c r="I18" i="2" s="1"/>
  <c r="V15" i="2"/>
  <c r="E21" i="2" s="1"/>
  <c r="J21" i="2" s="1"/>
  <c r="V11" i="2"/>
  <c r="V7" i="2"/>
  <c r="V47" i="2"/>
  <c r="I42" i="2" s="1"/>
  <c r="V43" i="2"/>
  <c r="J45" i="2" s="1"/>
  <c r="M45" i="2" s="1"/>
  <c r="V34" i="2"/>
  <c r="G31" i="2" s="1"/>
  <c r="V30" i="2"/>
  <c r="G26" i="2" s="1"/>
  <c r="V26" i="2"/>
  <c r="G22" i="2" s="1"/>
  <c r="V22" i="2"/>
  <c r="V18" i="2"/>
  <c r="G25" i="2" s="1"/>
  <c r="I25" i="2" s="1"/>
  <c r="V14" i="2"/>
  <c r="E32" i="2" s="1"/>
  <c r="V10" i="2"/>
  <c r="V5" i="2"/>
  <c r="V4" i="2"/>
  <c r="E15" i="2"/>
  <c r="V43" i="1"/>
  <c r="J44" i="1" s="1"/>
  <c r="M44" i="1" s="1"/>
  <c r="V42" i="1"/>
  <c r="V39" i="1"/>
  <c r="J42" i="1" s="1"/>
  <c r="M42" i="1" s="1"/>
  <c r="V32" i="1"/>
  <c r="G29" i="1" s="1"/>
  <c r="V30" i="1"/>
  <c r="V24" i="1"/>
  <c r="K21" i="1" s="1"/>
  <c r="M21" i="1" s="1"/>
  <c r="V23" i="1"/>
  <c r="K20" i="1" s="1"/>
  <c r="M20" i="1" s="1"/>
  <c r="V21" i="1"/>
  <c r="I22" i="1" s="1"/>
  <c r="V17" i="1"/>
  <c r="E15" i="1"/>
  <c r="V12" i="1"/>
  <c r="E18" i="1" s="1"/>
  <c r="J18" i="1" s="1"/>
  <c r="V5" i="1"/>
  <c r="K23" i="1"/>
  <c r="M23" i="1" s="1"/>
  <c r="V44" i="1"/>
  <c r="J46" i="1" s="1"/>
  <c r="M46" i="1" s="1"/>
  <c r="V41" i="1"/>
  <c r="J43" i="1" s="1"/>
  <c r="M43" i="1" s="1"/>
  <c r="V38" i="1"/>
  <c r="G42" i="1" s="1"/>
  <c r="V35" i="1"/>
  <c r="K30" i="1" s="1"/>
  <c r="M30" i="1" s="1"/>
  <c r="V29" i="1"/>
  <c r="K26" i="1" s="1"/>
  <c r="M26" i="1" s="1"/>
  <c r="V28" i="1"/>
  <c r="G26" i="1" s="1"/>
  <c r="V20" i="1"/>
  <c r="I21" i="1" s="1"/>
  <c r="V14" i="1"/>
  <c r="E30" i="1" s="1"/>
  <c r="V11" i="1"/>
  <c r="V9" i="1"/>
  <c r="V8" i="1"/>
  <c r="E17" i="1" s="1"/>
  <c r="V4" i="1"/>
  <c r="V45" i="1"/>
  <c r="I40" i="1" s="1"/>
  <c r="V40" i="1"/>
  <c r="I43" i="1" s="1"/>
  <c r="V34" i="1"/>
  <c r="I30" i="1" s="1"/>
  <c r="V18" i="1"/>
  <c r="G25" i="1" s="1"/>
  <c r="I25" i="1" s="1"/>
  <c r="V33" i="1"/>
  <c r="K29" i="1" s="1"/>
  <c r="M29" i="1" s="1"/>
  <c r="V26" i="1"/>
  <c r="G24" i="1" s="1"/>
  <c r="V10" i="1"/>
  <c r="V7" i="1"/>
  <c r="V37" i="1"/>
  <c r="V19" i="1"/>
  <c r="I20" i="1" s="1"/>
  <c r="V15" i="1"/>
  <c r="E23" i="1" s="1"/>
  <c r="J23" i="1" s="1"/>
  <c r="V13" i="1"/>
  <c r="G18" i="1" s="1"/>
  <c r="V36" i="1"/>
  <c r="K25" i="1" s="1"/>
  <c r="M25" i="1" s="1"/>
  <c r="V31" i="1"/>
  <c r="K27" i="1" s="1"/>
  <c r="M27" i="1" s="1"/>
  <c r="V27" i="1"/>
  <c r="K24" i="1" s="1"/>
  <c r="M24" i="1" s="1"/>
  <c r="V25" i="1"/>
  <c r="K22" i="1" s="1"/>
  <c r="M22" i="1" s="1"/>
  <c r="V22" i="1"/>
  <c r="V16" i="1"/>
  <c r="G23" i="1" s="1"/>
  <c r="I23" i="1" s="1"/>
  <c r="V6" i="1"/>
  <c r="E16" i="1" s="1"/>
  <c r="G19" i="1" l="1"/>
  <c r="G21" i="1"/>
  <c r="G20" i="1"/>
  <c r="K19" i="1"/>
  <c r="M19" i="1" s="1"/>
  <c r="E42" i="1"/>
  <c r="E46" i="1"/>
  <c r="E47" i="1"/>
  <c r="M48" i="1"/>
  <c r="I10" i="1" s="1"/>
  <c r="H44" i="1"/>
  <c r="H45" i="1"/>
  <c r="M50" i="2"/>
  <c r="I10" i="2" s="1"/>
  <c r="H46" i="2"/>
  <c r="H47" i="2"/>
  <c r="E49" i="2"/>
  <c r="E48" i="2"/>
  <c r="J57" i="2"/>
  <c r="I57" i="2"/>
  <c r="E57" i="2"/>
  <c r="K57" i="2"/>
  <c r="I16" i="2"/>
  <c r="E53" i="2"/>
  <c r="I15" i="2"/>
  <c r="D53" i="2"/>
  <c r="K25" i="2"/>
  <c r="M25" i="2" s="1"/>
  <c r="Y56" i="2"/>
  <c r="X56" i="2"/>
  <c r="Y55" i="2"/>
  <c r="X55" i="2"/>
  <c r="G16" i="2"/>
  <c r="G19" i="2"/>
  <c r="G18" i="2"/>
  <c r="G20" i="2"/>
  <c r="C53" i="2"/>
  <c r="K21" i="2"/>
  <c r="M21" i="2" s="1"/>
  <c r="G28" i="2"/>
  <c r="U54" i="2"/>
  <c r="G15" i="2"/>
  <c r="Y57" i="2"/>
  <c r="X57" i="2"/>
  <c r="U57" i="2" s="1"/>
  <c r="J15" i="2" s="1"/>
  <c r="Y55" i="1"/>
  <c r="G15" i="1"/>
  <c r="X55" i="1"/>
  <c r="U55" i="1" s="1"/>
  <c r="J15" i="1" s="1"/>
  <c r="Y54" i="1"/>
  <c r="G17" i="1"/>
  <c r="X54" i="1"/>
  <c r="C51" i="1"/>
  <c r="I15" i="1"/>
  <c r="G22" i="1"/>
  <c r="I16" i="1"/>
  <c r="D51" i="1"/>
  <c r="K18" i="1"/>
  <c r="M18" i="1" s="1"/>
  <c r="Y53" i="1"/>
  <c r="G16" i="1"/>
  <c r="X53" i="1"/>
  <c r="U53" i="1" s="1"/>
  <c r="J16" i="1" s="1"/>
  <c r="U52" i="1"/>
  <c r="G27" i="1"/>
  <c r="K15" i="1" l="1"/>
  <c r="M15" i="1" s="1"/>
  <c r="U56" i="2"/>
  <c r="K15" i="2"/>
  <c r="M15" i="2" s="1"/>
  <c r="U55" i="2"/>
  <c r="J16" i="2" s="1"/>
  <c r="K16" i="2" s="1"/>
  <c r="M16" i="2" s="1"/>
  <c r="U54" i="1"/>
  <c r="J17" i="1" s="1"/>
  <c r="K17" i="1" s="1"/>
  <c r="M17" i="1" s="1"/>
  <c r="K16" i="1"/>
  <c r="M16" i="1" s="1"/>
  <c r="M36" i="1" l="1"/>
  <c r="I9" i="1" s="1"/>
  <c r="I11" i="1" s="1"/>
  <c r="M38" i="2"/>
  <c r="I9" i="2" l="1"/>
  <c r="P1" i="4"/>
  <c r="V49" i="4" l="1"/>
  <c r="J47" i="4" s="1"/>
  <c r="M47" i="4" s="1"/>
  <c r="V48" i="4"/>
  <c r="J45" i="4" s="1"/>
  <c r="M45" i="4" s="1"/>
  <c r="I11" i="2"/>
  <c r="V17" i="4"/>
  <c r="F7" i="4"/>
  <c r="V7" i="4"/>
  <c r="G16" i="4" s="1"/>
  <c r="V37" i="4"/>
  <c r="V26" i="4"/>
  <c r="G24" i="4" s="1"/>
  <c r="V20" i="4"/>
  <c r="I21" i="4" s="1"/>
  <c r="V33" i="4"/>
  <c r="K29" i="4" s="1"/>
  <c r="M29" i="4" s="1"/>
  <c r="V45" i="4"/>
  <c r="I40" i="4" s="1"/>
  <c r="V10" i="4"/>
  <c r="V22" i="4"/>
  <c r="K19" i="4" s="1"/>
  <c r="M19" i="4" s="1"/>
  <c r="V44" i="4"/>
  <c r="J46" i="4" s="1"/>
  <c r="M46" i="4" s="1"/>
  <c r="V30" i="4"/>
  <c r="V11" i="4"/>
  <c r="V5" i="4"/>
  <c r="V13" i="4"/>
  <c r="G18" i="4" s="1"/>
  <c r="V23" i="4"/>
  <c r="K20" i="4" s="1"/>
  <c r="M20" i="4" s="1"/>
  <c r="V38" i="4"/>
  <c r="G42" i="4" s="1"/>
  <c r="V36" i="4"/>
  <c r="K25" i="4" s="1"/>
  <c r="M25" i="4" s="1"/>
  <c r="V18" i="4"/>
  <c r="G25" i="4" s="1"/>
  <c r="I25" i="4" s="1"/>
  <c r="E15" i="4"/>
  <c r="V32" i="4"/>
  <c r="G29" i="4" s="1"/>
  <c r="V47" i="4"/>
  <c r="K23" i="4" s="1"/>
  <c r="M23" i="4" s="1"/>
  <c r="V4" i="4"/>
  <c r="V9" i="4"/>
  <c r="V35" i="4"/>
  <c r="K30" i="4" s="1"/>
  <c r="M30" i="4" s="1"/>
  <c r="V16" i="4"/>
  <c r="G23" i="4" s="1"/>
  <c r="I23" i="4" s="1"/>
  <c r="V41" i="4"/>
  <c r="J43" i="4" s="1"/>
  <c r="M43" i="4" s="1"/>
  <c r="V43" i="4"/>
  <c r="J44" i="4" s="1"/>
  <c r="M44" i="4" s="1"/>
  <c r="V29" i="4"/>
  <c r="K26" i="4" s="1"/>
  <c r="M26" i="4" s="1"/>
  <c r="V12" i="4"/>
  <c r="E18" i="4" s="1"/>
  <c r="J18" i="4" s="1"/>
  <c r="V6" i="4"/>
  <c r="E16" i="4" s="1"/>
  <c r="V8" i="4"/>
  <c r="E17" i="4" s="1"/>
  <c r="V14" i="4"/>
  <c r="E30" i="4" s="1"/>
  <c r="V28" i="4"/>
  <c r="G26" i="4" s="1"/>
  <c r="V39" i="4"/>
  <c r="J42" i="4" s="1"/>
  <c r="M42" i="4" s="1"/>
  <c r="V25" i="4"/>
  <c r="K22" i="4" s="1"/>
  <c r="M22" i="4" s="1"/>
  <c r="V31" i="4"/>
  <c r="K27" i="4" s="1"/>
  <c r="M27" i="4" s="1"/>
  <c r="V34" i="4"/>
  <c r="I30" i="4" s="1"/>
  <c r="V42" i="4"/>
  <c r="V27" i="4"/>
  <c r="K24" i="4" s="1"/>
  <c r="M24" i="4" s="1"/>
  <c r="V24" i="4"/>
  <c r="K21" i="4" s="1"/>
  <c r="M21" i="4" s="1"/>
  <c r="V15" i="4"/>
  <c r="E23" i="4" s="1"/>
  <c r="J23" i="4" s="1"/>
  <c r="V19" i="4"/>
  <c r="I20" i="4" s="1"/>
  <c r="V40" i="4"/>
  <c r="I43" i="4" s="1"/>
  <c r="V21" i="4"/>
  <c r="I22" i="4" s="1"/>
  <c r="G21" i="4" l="1"/>
  <c r="G20" i="4"/>
  <c r="G19" i="4"/>
  <c r="E42" i="4"/>
  <c r="E46" i="4"/>
  <c r="E47" i="4"/>
  <c r="H44" i="4"/>
  <c r="H45" i="4"/>
  <c r="M48" i="4"/>
  <c r="I10" i="4" s="1"/>
  <c r="C51" i="4"/>
  <c r="E51" i="4"/>
  <c r="D51" i="4"/>
  <c r="I15" i="4"/>
  <c r="G22" i="4"/>
  <c r="I16" i="4"/>
  <c r="G27" i="4"/>
  <c r="U52" i="4"/>
  <c r="Y55" i="4"/>
  <c r="G15" i="4"/>
  <c r="X55" i="4"/>
  <c r="U55" i="4" s="1"/>
  <c r="J15" i="4" s="1"/>
  <c r="K18" i="4"/>
  <c r="M18" i="4" s="1"/>
  <c r="Y53" i="4"/>
  <c r="G17" i="4"/>
  <c r="Y54" i="4"/>
  <c r="X54" i="4"/>
  <c r="X53" i="4"/>
  <c r="U53" i="4" s="1"/>
  <c r="J16" i="4" s="1"/>
  <c r="K15" i="4" l="1"/>
  <c r="M15" i="4" s="1"/>
  <c r="K16" i="4"/>
  <c r="M16" i="4" s="1"/>
  <c r="U54" i="4"/>
  <c r="J17" i="4" s="1"/>
  <c r="K17" i="4" s="1"/>
  <c r="M17" i="4" s="1"/>
  <c r="M36" i="4" l="1"/>
  <c r="I9" i="4" s="1"/>
  <c r="I11" i="4" l="1"/>
</calcChain>
</file>

<file path=xl/comments1.xml><?xml version="1.0" encoding="utf-8"?>
<comments xmlns="http://schemas.openxmlformats.org/spreadsheetml/2006/main">
  <authors>
    <author>toa-tatematu2</author>
  </authors>
  <commentList>
    <comment ref="K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のみ入力</t>
        </r>
      </text>
    </comment>
    <comment ref="I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マウントアップ歩道の場合　-0.200
ベースプレートをG.Lより下げる場合　0.300
勾配を考慮する場合は勾配分を増やした値を記入</t>
        </r>
      </text>
    </comment>
  </commentList>
</comments>
</file>

<file path=xl/comments2.xml><?xml version="1.0" encoding="utf-8"?>
<comments xmlns="http://schemas.openxmlformats.org/spreadsheetml/2006/main">
  <authors>
    <author>toa-tatematu2</author>
  </authors>
  <commentList>
    <comment ref="K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のみ入力</t>
        </r>
      </text>
    </comment>
    <comment ref="I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マウントアップ歩道の場合　-0.200
ベースプレートをG.Lより下げる場合　0.300
勾配を考慮する場合は勾配分を増やした値を記入</t>
        </r>
      </text>
    </comment>
  </commentList>
</comments>
</file>

<file path=xl/comments3.xml><?xml version="1.0" encoding="utf-8"?>
<comments xmlns="http://schemas.openxmlformats.org/spreadsheetml/2006/main">
  <authors>
    <author>toa-tatematu2</author>
  </authors>
  <commentList>
    <comment ref="K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のみ入力</t>
        </r>
      </text>
    </comment>
    <comment ref="I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マウントアップ歩道の場合　-0.200
ベースプレートをG.Lより下げる場合　0.300
勾配を考慮する場合は勾配分を増やした値を記入</t>
        </r>
      </text>
    </comment>
  </commentList>
</comments>
</file>

<file path=xl/comments4.xml><?xml version="1.0" encoding="utf-8"?>
<comments xmlns="http://schemas.openxmlformats.org/spreadsheetml/2006/main">
  <authors>
    <author>toa-tatematu2</author>
  </authors>
  <commentList>
    <comment ref="K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のみ入力</t>
        </r>
      </text>
    </comment>
    <comment ref="I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マウントアップ歩道の場合　-0.200
ベースプレートをG.Lより下げる場合　0.300
勾配を考慮する場合は勾配分を増やした値を記入</t>
        </r>
      </text>
    </comment>
  </commentList>
</comments>
</file>

<file path=xl/sharedStrings.xml><?xml version="1.0" encoding="utf-8"?>
<sst xmlns="http://schemas.openxmlformats.org/spreadsheetml/2006/main" count="1059" uniqueCount="222">
  <si>
    <t>張出長１．０ｍ</t>
  </si>
  <si>
    <t xml:space="preserve"> </t>
  </si>
  <si>
    <t>Ｆ-2型</t>
    <phoneticPr fontId="4"/>
  </si>
  <si>
    <t xml:space="preserve"> 標識板縦 m</t>
  </si>
  <si>
    <t>　標識板高さ　m</t>
  </si>
  <si>
    <t>柱径</t>
  </si>
  <si>
    <t xml:space="preserve">   </t>
  </si>
  <si>
    <t xml:space="preserve"> 標識板横 m</t>
  </si>
  <si>
    <t>柱厚</t>
  </si>
  <si>
    <t xml:space="preserve"> 板梁下   m</t>
  </si>
  <si>
    <t>柱増減</t>
    <rPh sb="0" eb="1">
      <t>ハシラ</t>
    </rPh>
    <rPh sb="1" eb="3">
      <t>ゾウゲン</t>
    </rPh>
    <phoneticPr fontId="4"/>
  </si>
  <si>
    <t>m</t>
    <phoneticPr fontId="4"/>
  </si>
  <si>
    <t>梁径</t>
  </si>
  <si>
    <t xml:space="preserve">  </t>
  </si>
  <si>
    <t xml:space="preserve"> 面積</t>
  </si>
  <si>
    <t>㎡</t>
  </si>
  <si>
    <t>梁厚</t>
  </si>
  <si>
    <t xml:space="preserve"> 縦横比</t>
  </si>
  <si>
    <t xml:space="preserve"> 縦材</t>
  </si>
  <si>
    <t>柱</t>
  </si>
  <si>
    <t>kg</t>
    <phoneticPr fontId="8"/>
  </si>
  <si>
    <t xml:space="preserve"> 厚</t>
  </si>
  <si>
    <t>※</t>
    <phoneticPr fontId="4"/>
  </si>
  <si>
    <t>ｱﾝｶｰﾎﾞﾙﾄ</t>
  </si>
  <si>
    <t>柱出</t>
  </si>
  <si>
    <t>総重量</t>
  </si>
  <si>
    <t>梁出</t>
  </si>
  <si>
    <t>ﾌﾗﾝｼﾞ厚</t>
  </si>
  <si>
    <t>重量表</t>
  </si>
  <si>
    <t>張出長1.0m</t>
  </si>
  <si>
    <t>ﾌﾗﾝｼﾞ径</t>
  </si>
  <si>
    <t>部   材</t>
    <phoneticPr fontId="8"/>
  </si>
  <si>
    <t>種 別</t>
  </si>
  <si>
    <t xml:space="preserve">    断面寸法</t>
  </si>
  <si>
    <t>長さ</t>
  </si>
  <si>
    <t>単位重量</t>
  </si>
  <si>
    <t>１個重量</t>
  </si>
  <si>
    <t>数量</t>
  </si>
  <si>
    <t>重量 kg</t>
  </si>
  <si>
    <t>FRﾎﾞﾙﾄ</t>
  </si>
  <si>
    <t xml:space="preserve">  M16</t>
  </si>
  <si>
    <t xml:space="preserve">  M20</t>
  </si>
  <si>
    <t xml:space="preserve">  M22</t>
  </si>
  <si>
    <t xml:space="preserve">  M27</t>
  </si>
  <si>
    <t>柱</t>
    <phoneticPr fontId="8"/>
  </si>
  <si>
    <t>ＳＴＫ</t>
    <phoneticPr fontId="8"/>
  </si>
  <si>
    <t>×</t>
  </si>
  <si>
    <t>　</t>
  </si>
  <si>
    <t>ﾍﾞｰｽ厚</t>
  </si>
  <si>
    <t>梁</t>
    <phoneticPr fontId="8"/>
  </si>
  <si>
    <t>〃</t>
  </si>
  <si>
    <t>ﾍﾞｰｽ幅</t>
  </si>
  <si>
    <t>梁 立 鋼</t>
    <phoneticPr fontId="8"/>
  </si>
  <si>
    <t xml:space="preserve">  M33</t>
  </si>
  <si>
    <t xml:space="preserve">  M36</t>
  </si>
  <si>
    <t>フランジ</t>
    <phoneticPr fontId="8"/>
  </si>
  <si>
    <t>ＰＬ</t>
  </si>
  <si>
    <t>φ</t>
  </si>
  <si>
    <t>取付PL</t>
  </si>
  <si>
    <t>〃  リブ</t>
    <phoneticPr fontId="8"/>
  </si>
  <si>
    <t>FRﾘﾌﾞ</t>
  </si>
  <si>
    <t>〃</t>
    <phoneticPr fontId="8"/>
  </si>
  <si>
    <t>〃</t>
    <phoneticPr fontId="8"/>
  </si>
  <si>
    <t>単重</t>
  </si>
  <si>
    <t>ﾍﾞｰｽﾌﾟﾚｰﾄ</t>
    <phoneticPr fontId="8"/>
  </si>
  <si>
    <t>板取付ﾌﾟﾚｰﾄ</t>
    <phoneticPr fontId="8"/>
  </si>
  <si>
    <t>ﾄｯﾌﾟｷｬｯﾌﾟ</t>
    <phoneticPr fontId="8"/>
  </si>
  <si>
    <t>ﾍﾞｰｽﾘﾌﾞ</t>
  </si>
  <si>
    <t>ﾄｯﾌﾟﾌﾟﾚｰﾄ</t>
    <phoneticPr fontId="8"/>
  </si>
  <si>
    <t>〃 止め板</t>
    <phoneticPr fontId="8"/>
  </si>
  <si>
    <t>ﾄｯﾌﾟCAP</t>
  </si>
  <si>
    <t>梁キャップ</t>
    <phoneticPr fontId="8"/>
  </si>
  <si>
    <t>フランジ</t>
    <phoneticPr fontId="8"/>
  </si>
  <si>
    <t>Ｂ．Ｎ</t>
  </si>
  <si>
    <t>ﾄｯﾌﾟPL</t>
  </si>
  <si>
    <t>アングル</t>
    <phoneticPr fontId="8"/>
  </si>
  <si>
    <t>M16</t>
  </si>
  <si>
    <t>TOPCAP止ﾒ板</t>
    <phoneticPr fontId="8"/>
  </si>
  <si>
    <t>BOLT</t>
  </si>
  <si>
    <t>M 8</t>
  </si>
  <si>
    <t>梁CAP</t>
  </si>
  <si>
    <t>取付単</t>
    <rPh sb="2" eb="3">
      <t>タン</t>
    </rPh>
    <phoneticPr fontId="4"/>
  </si>
  <si>
    <t>　M22</t>
  </si>
  <si>
    <t>　M27</t>
  </si>
  <si>
    <t>　M33</t>
  </si>
  <si>
    <t>　M36</t>
  </si>
  <si>
    <t>　長さ</t>
  </si>
  <si>
    <t>　単重</t>
  </si>
  <si>
    <t>アンカーボルト数量表</t>
  </si>
  <si>
    <t>平鋼</t>
  </si>
  <si>
    <t>部材名称</t>
    <phoneticPr fontId="8"/>
  </si>
  <si>
    <t>規格及び寸法</t>
  </si>
  <si>
    <t>　　単位重量　</t>
  </si>
  <si>
    <t>　数量</t>
  </si>
  <si>
    <t>重量kg</t>
  </si>
  <si>
    <t>kg／本</t>
  </si>
  <si>
    <t>ﾅｯﾄ</t>
  </si>
  <si>
    <t>M22</t>
  </si>
  <si>
    <t>M27</t>
  </si>
  <si>
    <t>M33</t>
  </si>
  <si>
    <t>M36</t>
  </si>
  <si>
    <t>平        鋼</t>
    <phoneticPr fontId="8"/>
  </si>
  <si>
    <t>kg／枚</t>
  </si>
  <si>
    <t>ナ   ッ   ト</t>
    <phoneticPr fontId="8"/>
  </si>
  <si>
    <t>　　六角ナット</t>
  </si>
  <si>
    <t>kg／個</t>
  </si>
  <si>
    <t>ﾜｯｼｬｰ</t>
  </si>
  <si>
    <t>(6-M22×700)</t>
    <phoneticPr fontId="8"/>
  </si>
  <si>
    <t>(6-M27×850)</t>
    <phoneticPr fontId="8"/>
  </si>
  <si>
    <t>(6-M33×1000)</t>
    <phoneticPr fontId="8"/>
  </si>
  <si>
    <t>(6-M36×1000)</t>
    <phoneticPr fontId="8"/>
  </si>
  <si>
    <t>ﾍﾞｰｽ単</t>
    <rPh sb="4" eb="5">
      <t>タン</t>
    </rPh>
    <phoneticPr fontId="4"/>
  </si>
  <si>
    <t>Ф</t>
    <phoneticPr fontId="4"/>
  </si>
  <si>
    <t>アンカーボルト</t>
    <phoneticPr fontId="4"/>
  </si>
  <si>
    <t>標準基礎</t>
    <rPh sb="0" eb="2">
      <t>ヒョウジュン</t>
    </rPh>
    <rPh sb="2" eb="4">
      <t>キソ</t>
    </rPh>
    <phoneticPr fontId="4"/>
  </si>
  <si>
    <t>爪ボルト個数</t>
    <rPh sb="0" eb="1">
      <t>ツメ</t>
    </rPh>
    <rPh sb="4" eb="6">
      <t>コスウ</t>
    </rPh>
    <phoneticPr fontId="4"/>
  </si>
  <si>
    <t>ｱﾙﾐTﾊﾞｰ</t>
    <phoneticPr fontId="4"/>
  </si>
  <si>
    <t>　２）単位重量</t>
  </si>
  <si>
    <t>　　項目</t>
  </si>
  <si>
    <t>　単位重量</t>
  </si>
  <si>
    <t xml:space="preserve"> 標識板 　Ｂw</t>
  </si>
  <si>
    <t>Kg/m2</t>
  </si>
  <si>
    <t xml:space="preserve"> 梁材 　　Ｈw</t>
  </si>
  <si>
    <t>Kg/m</t>
  </si>
  <si>
    <t>梁立鋼材  ＨRw</t>
  </si>
  <si>
    <t xml:space="preserve"> 柱材　　 Ｃw</t>
  </si>
  <si>
    <t>柱</t>
    <rPh sb="0" eb="1">
      <t>ハシラ</t>
    </rPh>
    <phoneticPr fontId="4"/>
  </si>
  <si>
    <t>梁</t>
    <rPh sb="0" eb="1">
      <t>ハリ</t>
    </rPh>
    <phoneticPr fontId="4"/>
  </si>
  <si>
    <t>リブ</t>
    <phoneticPr fontId="4"/>
  </si>
  <si>
    <t>ｱﾝｶｰ</t>
    <phoneticPr fontId="4"/>
  </si>
  <si>
    <t>三陽</t>
    <rPh sb="0" eb="2">
      <t>サンヨウ</t>
    </rPh>
    <phoneticPr fontId="4"/>
  </si>
  <si>
    <t>M22*700</t>
    <phoneticPr fontId="4"/>
  </si>
  <si>
    <t>M27*850</t>
    <phoneticPr fontId="4"/>
  </si>
  <si>
    <t>M33*1000</t>
    <phoneticPr fontId="4"/>
  </si>
  <si>
    <t>M36*1000</t>
    <phoneticPr fontId="4"/>
  </si>
  <si>
    <t>0.8*0.8*2.4</t>
    <phoneticPr fontId="4"/>
  </si>
  <si>
    <t>1.0*1.0*2.5</t>
    <phoneticPr fontId="4"/>
  </si>
  <si>
    <t>1.2*1.2*2.5</t>
    <phoneticPr fontId="4"/>
  </si>
  <si>
    <t>1.4*1.4*2.5</t>
    <phoneticPr fontId="4"/>
  </si>
  <si>
    <t>1.4*1.7*2.5</t>
    <phoneticPr fontId="4"/>
  </si>
  <si>
    <t>1.4*2.0*2.5</t>
    <phoneticPr fontId="4"/>
  </si>
  <si>
    <t>1.4*2.4*2.5</t>
    <phoneticPr fontId="4"/>
  </si>
  <si>
    <t>Ｆ-1型</t>
    <phoneticPr fontId="4"/>
  </si>
  <si>
    <t>ﾌﾗﾝｼﾞ単</t>
    <rPh sb="5" eb="6">
      <t>タン</t>
    </rPh>
    <phoneticPr fontId="4"/>
  </si>
  <si>
    <t>kg</t>
    <phoneticPr fontId="8"/>
  </si>
  <si>
    <t>取付単</t>
    <rPh sb="0" eb="2">
      <t>トリツケ</t>
    </rPh>
    <rPh sb="2" eb="3">
      <t>タン</t>
    </rPh>
    <phoneticPr fontId="4"/>
  </si>
  <si>
    <t>※</t>
    <phoneticPr fontId="4"/>
  </si>
  <si>
    <t>部   材</t>
    <phoneticPr fontId="8"/>
  </si>
  <si>
    <r>
      <t xml:space="preserve">  M</t>
    </r>
    <r>
      <rPr>
        <sz val="11"/>
        <color theme="1"/>
        <rFont val="ＭＳ Ｐゴシック"/>
        <family val="2"/>
        <charset val="128"/>
        <scheme val="minor"/>
      </rPr>
      <t>16</t>
    </r>
    <phoneticPr fontId="4"/>
  </si>
  <si>
    <r>
      <t xml:space="preserve">  M2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</si>
  <si>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梁</t>
    <phoneticPr fontId="8"/>
  </si>
  <si>
    <r>
      <t>　M2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</si>
  <si>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　M</t>
    </r>
    <r>
      <rPr>
        <sz val="11"/>
        <color theme="1"/>
        <rFont val="ＭＳ Ｐゴシック"/>
        <family val="2"/>
        <charset val="128"/>
        <scheme val="minor"/>
      </rPr>
      <t>22</t>
    </r>
    <phoneticPr fontId="4"/>
  </si>
  <si>
    <t>〃</t>
    <phoneticPr fontId="8"/>
  </si>
  <si>
    <t>〃</t>
    <phoneticPr fontId="8"/>
  </si>
  <si>
    <t>ﾍﾞｰｽﾌﾟﾚｰﾄ</t>
    <phoneticPr fontId="8"/>
  </si>
  <si>
    <t>〃  リブ</t>
    <phoneticPr fontId="8"/>
  </si>
  <si>
    <t>板取付ﾌﾟﾚｰﾄ</t>
    <phoneticPr fontId="8"/>
  </si>
  <si>
    <t>ﾄｯﾌﾟｷｬｯﾌﾟ</t>
    <phoneticPr fontId="8"/>
  </si>
  <si>
    <t>〃 止め板</t>
    <phoneticPr fontId="8"/>
  </si>
  <si>
    <t>梁キャップ</t>
    <phoneticPr fontId="8"/>
  </si>
  <si>
    <t>フランジ</t>
    <phoneticPr fontId="8"/>
  </si>
  <si>
    <t>アングル</t>
    <phoneticPr fontId="8"/>
  </si>
  <si>
    <t>TOPCAP止ﾒ板</t>
    <phoneticPr fontId="8"/>
  </si>
  <si>
    <r>
      <t>　M2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</si>
  <si>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　M</t>
    </r>
    <r>
      <rPr>
        <sz val="11"/>
        <color theme="1"/>
        <rFont val="ＭＳ Ｐゴシック"/>
        <family val="2"/>
        <charset val="128"/>
        <scheme val="minor"/>
      </rPr>
      <t>22</t>
    </r>
    <phoneticPr fontId="4"/>
  </si>
  <si>
    <t>部材名称</t>
    <phoneticPr fontId="8"/>
  </si>
  <si>
    <t>ボルト（丸鋼）</t>
    <phoneticPr fontId="8"/>
  </si>
  <si>
    <t>平        鋼</t>
    <phoneticPr fontId="8"/>
  </si>
  <si>
    <t>ナ   ッ   ト</t>
    <phoneticPr fontId="8"/>
  </si>
  <si>
    <t>Ф</t>
    <phoneticPr fontId="4"/>
  </si>
  <si>
    <t>アンカーボルト</t>
    <phoneticPr fontId="4"/>
  </si>
  <si>
    <t>ｱﾙﾐTﾊﾞｰ</t>
    <phoneticPr fontId="4"/>
  </si>
  <si>
    <r>
      <t>M</t>
    </r>
    <r>
      <rPr>
        <sz val="11"/>
        <color theme="1"/>
        <rFont val="ＭＳ Ｐゴシック"/>
        <family val="2"/>
        <charset val="128"/>
        <scheme val="minor"/>
      </rPr>
      <t>27</t>
    </r>
    <r>
      <rPr>
        <sz val="11"/>
        <rFont val="ＭＳ Ｐゴシック"/>
        <family val="3"/>
        <charset val="128"/>
      </rPr>
      <t>*</t>
    </r>
    <r>
      <rPr>
        <sz val="11"/>
        <color theme="1"/>
        <rFont val="ＭＳ Ｐゴシック"/>
        <family val="2"/>
        <charset val="128"/>
        <scheme val="minor"/>
      </rPr>
      <t>850</t>
    </r>
    <phoneticPr fontId="4"/>
  </si>
  <si>
    <t>(4-M22×700)</t>
    <phoneticPr fontId="8"/>
  </si>
  <si>
    <t>(4-M22×700)</t>
    <phoneticPr fontId="8"/>
  </si>
  <si>
    <t>(4-M27×850)</t>
    <phoneticPr fontId="8"/>
  </si>
  <si>
    <t>(4-M27×850)</t>
    <phoneticPr fontId="8"/>
  </si>
  <si>
    <t>0.8*0.8*1.8</t>
    <phoneticPr fontId="4"/>
  </si>
  <si>
    <t>0.8*0.8*2.1</t>
    <phoneticPr fontId="4"/>
  </si>
  <si>
    <r>
      <t>0</t>
    </r>
    <r>
      <rPr>
        <sz val="11"/>
        <color theme="1"/>
        <rFont val="ＭＳ Ｐゴシック"/>
        <family val="2"/>
        <charset val="128"/>
        <scheme val="minor"/>
      </rPr>
      <t>.8</t>
    </r>
    <r>
      <rPr>
        <sz val="11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  <scheme val="minor"/>
      </rPr>
      <t>0.8</t>
    </r>
    <r>
      <rPr>
        <sz val="11"/>
        <rFont val="ＭＳ Ｐゴシック"/>
        <family val="3"/>
        <charset val="128"/>
      </rPr>
      <t>*2.4</t>
    </r>
    <phoneticPr fontId="4"/>
  </si>
  <si>
    <r>
      <t>0</t>
    </r>
    <r>
      <rPr>
        <sz val="11"/>
        <color theme="1"/>
        <rFont val="ＭＳ Ｐゴシック"/>
        <family val="2"/>
        <charset val="128"/>
        <scheme val="minor"/>
      </rPr>
      <t>.8</t>
    </r>
    <r>
      <rPr>
        <sz val="11"/>
        <rFont val="ＭＳ Ｐゴシック"/>
        <family val="3"/>
        <charset val="128"/>
      </rPr>
      <t>*</t>
    </r>
    <r>
      <rPr>
        <sz val="11"/>
        <color theme="1"/>
        <rFont val="ＭＳ Ｐゴシック"/>
        <family val="3"/>
        <charset val="128"/>
        <scheme val="minor"/>
      </rPr>
      <t>0.8</t>
    </r>
    <r>
      <rPr>
        <sz val="11"/>
        <rFont val="ＭＳ Ｐゴシック"/>
        <family val="3"/>
        <charset val="128"/>
      </rPr>
      <t>*2.7</t>
    </r>
    <phoneticPr fontId="4"/>
  </si>
  <si>
    <t>張出長２．５ｍ</t>
    <phoneticPr fontId="2"/>
  </si>
  <si>
    <t>張出長2.5m</t>
    <phoneticPr fontId="2"/>
  </si>
  <si>
    <t>Ｆ2型標識</t>
    <phoneticPr fontId="4"/>
  </si>
  <si>
    <t>Ｆ1型標識</t>
    <phoneticPr fontId="4"/>
  </si>
  <si>
    <t>浅基礎</t>
    <rPh sb="0" eb="1">
      <t>アサ</t>
    </rPh>
    <rPh sb="1" eb="3">
      <t>キソ</t>
    </rPh>
    <phoneticPr fontId="4"/>
  </si>
  <si>
    <t>0.8*1.5*1.0</t>
    <phoneticPr fontId="2"/>
  </si>
  <si>
    <t>0.8*1.9*1.0</t>
    <phoneticPr fontId="2"/>
  </si>
  <si>
    <t>0.8*2.4*1.0</t>
    <phoneticPr fontId="2"/>
  </si>
  <si>
    <t>0.8*2.8*1.0</t>
    <phoneticPr fontId="2"/>
  </si>
  <si>
    <t>0.8*3.2*1.0</t>
    <phoneticPr fontId="2"/>
  </si>
  <si>
    <t>鉄筋D13</t>
    <rPh sb="0" eb="2">
      <t>テッキン</t>
    </rPh>
    <phoneticPr fontId="2"/>
  </si>
  <si>
    <t>n</t>
    <phoneticPr fontId="2"/>
  </si>
  <si>
    <t>P2</t>
    <phoneticPr fontId="2"/>
  </si>
  <si>
    <t>n2</t>
    <phoneticPr fontId="2"/>
  </si>
  <si>
    <t>-</t>
    <phoneticPr fontId="2"/>
  </si>
  <si>
    <t>0.8*2.9*1.0</t>
    <phoneticPr fontId="2"/>
  </si>
  <si>
    <t>1.0*3.3*1.0</t>
    <phoneticPr fontId="2"/>
  </si>
  <si>
    <t>1.2*4.1*1.0</t>
    <phoneticPr fontId="2"/>
  </si>
  <si>
    <t>1.4*4.3*1.0</t>
    <phoneticPr fontId="2"/>
  </si>
  <si>
    <t>1.4*5.0*1.0</t>
    <phoneticPr fontId="2"/>
  </si>
  <si>
    <t>1.4*5.6*1.0</t>
    <phoneticPr fontId="2"/>
  </si>
  <si>
    <t>1.4*6.3*1.0</t>
    <phoneticPr fontId="2"/>
  </si>
  <si>
    <t>0.8*1.3*1.0</t>
    <phoneticPr fontId="2"/>
  </si>
  <si>
    <t>0.8*1.6*1.0</t>
    <phoneticPr fontId="2"/>
  </si>
  <si>
    <t>0.8*2.2*1.0</t>
    <phoneticPr fontId="2"/>
  </si>
  <si>
    <t>0.8*2.5*1.0</t>
    <phoneticPr fontId="2"/>
  </si>
  <si>
    <t>1.0*3.0*1.0</t>
    <phoneticPr fontId="2"/>
  </si>
  <si>
    <t>1.2*3.3*1.0</t>
    <phoneticPr fontId="2"/>
  </si>
  <si>
    <t>1.4*3.9*1..0</t>
    <phoneticPr fontId="2"/>
  </si>
  <si>
    <t>1.4*3.7*1.0</t>
    <phoneticPr fontId="2"/>
  </si>
  <si>
    <t>1.4*4.9*1.0</t>
    <phoneticPr fontId="2"/>
  </si>
  <si>
    <t>1.4*5.3*1.0</t>
    <phoneticPr fontId="2"/>
  </si>
  <si>
    <t>m×2本</t>
    <rPh sb="3" eb="4">
      <t>ホン</t>
    </rPh>
    <phoneticPr fontId="2"/>
  </si>
  <si>
    <t>緩み止めナット</t>
    <rPh sb="1" eb="2">
      <t>ド</t>
    </rPh>
    <phoneticPr fontId="8"/>
  </si>
  <si>
    <t>平　座　金</t>
    <rPh sb="0" eb="1">
      <t>ヒラ</t>
    </rPh>
    <phoneticPr fontId="8"/>
  </si>
  <si>
    <t>ば　ね　座　金</t>
    <phoneticPr fontId="8"/>
  </si>
  <si>
    <t>Uナット</t>
    <phoneticPr fontId="2"/>
  </si>
  <si>
    <t>SW</t>
    <phoneticPr fontId="2"/>
  </si>
  <si>
    <t>B.N.UN.W.SW</t>
    <phoneticPr fontId="2"/>
  </si>
  <si>
    <r>
      <t xml:space="preserve">  M2</t>
    </r>
    <r>
      <rPr>
        <sz val="11"/>
        <color theme="1"/>
        <rFont val="ＭＳ Ｐゴシック"/>
        <family val="3"/>
        <charset val="128"/>
        <scheme val="minor"/>
      </rPr>
      <t>7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</si>
</sst>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;;;"/>
    <numFmt numFmtId="178" formatCode="0.000"/>
    <numFmt numFmtId="179" formatCode="0.0000"/>
    <numFmt numFmtId="180" formatCode="0.000_);[Red]\(0.000\)"/>
    <numFmt numFmtId="181" formatCode="0.0000_);[Red]\(0.0000\)"/>
    <numFmt numFmtId="182" formatCode="0_);[Red]\(0\)"/>
    <numFmt numFmtId="183" formatCode="0.00_);[Red]\(0.00\)"/>
    <numFmt numFmtId="184" formatCode="#,##0.0_);[Red]\(#,##0.0\)"/>
    <numFmt numFmtId="185" formatCode="0_ "/>
    <numFmt numFmtId="186" formatCode="0.000_ ;[Red]\-0.000\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Alignment="1"/>
    <xf numFmtId="176" fontId="1" fillId="0" borderId="0" xfId="0" applyNumberFormat="1" applyFont="1" applyAlignment="1" applyProtection="1"/>
    <xf numFmtId="177" fontId="1" fillId="0" borderId="0" xfId="0" applyNumberFormat="1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176" fontId="1" fillId="0" borderId="1" xfId="0" applyNumberFormat="1" applyFont="1" applyBorder="1" applyAlignment="1" applyProtection="1"/>
    <xf numFmtId="0" fontId="1" fillId="0" borderId="1" xfId="0" applyFont="1" applyBorder="1" applyAlignment="1"/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/>
    <xf numFmtId="178" fontId="3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179" fontId="1" fillId="0" borderId="4" xfId="0" applyNumberFormat="1" applyFont="1" applyBorder="1" applyAlignment="1" applyProtection="1">
      <alignment horizontal="left"/>
    </xf>
    <xf numFmtId="179" fontId="1" fillId="0" borderId="1" xfId="0" applyNumberFormat="1" applyFont="1" applyBorder="1" applyAlignment="1" applyProtection="1">
      <alignment horizontal="left"/>
    </xf>
    <xf numFmtId="179" fontId="1" fillId="0" borderId="1" xfId="0" applyNumberFormat="1" applyFont="1" applyBorder="1" applyAlignment="1" applyProtection="1"/>
    <xf numFmtId="0" fontId="1" fillId="0" borderId="5" xfId="0" applyFont="1" applyBorder="1" applyAlignment="1"/>
    <xf numFmtId="0" fontId="3" fillId="0" borderId="4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176" fontId="1" fillId="0" borderId="4" xfId="0" applyNumberFormat="1" applyFont="1" applyBorder="1" applyAlignment="1" applyProtection="1"/>
    <xf numFmtId="1" fontId="1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/>
    <xf numFmtId="181" fontId="3" fillId="0" borderId="4" xfId="0" applyNumberFormat="1" applyFont="1" applyBorder="1" applyAlignment="1" applyProtection="1">
      <alignment vertical="center"/>
    </xf>
    <xf numFmtId="176" fontId="3" fillId="0" borderId="4" xfId="0" applyNumberFormat="1" applyFont="1" applyBorder="1" applyAlignment="1" applyProtection="1">
      <alignment horizontal="center" vertical="center"/>
    </xf>
    <xf numFmtId="178" fontId="3" fillId="0" borderId="1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180" fontId="3" fillId="0" borderId="4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1" fillId="0" borderId="0" xfId="0" applyFont="1" applyAlignment="1" applyProtection="1">
      <alignment horizontal="left"/>
    </xf>
    <xf numFmtId="182" fontId="3" fillId="0" borderId="4" xfId="0" applyNumberFormat="1" applyFont="1" applyBorder="1" applyAlignment="1" applyProtection="1">
      <alignment vertical="center"/>
    </xf>
    <xf numFmtId="0" fontId="3" fillId="0" borderId="3" xfId="0" applyFont="1" applyBorder="1" applyAlignment="1"/>
    <xf numFmtId="0" fontId="5" fillId="0" borderId="0" xfId="0" applyFont="1" applyAlignment="1"/>
    <xf numFmtId="182" fontId="3" fillId="0" borderId="4" xfId="0" applyNumberFormat="1" applyFont="1" applyBorder="1" applyAlignment="1" applyProtection="1">
      <alignment horizontal="right" vertical="center"/>
    </xf>
    <xf numFmtId="1" fontId="1" fillId="0" borderId="4" xfId="0" applyNumberFormat="1" applyFont="1" applyBorder="1" applyAlignment="1" applyProtection="1"/>
    <xf numFmtId="1" fontId="1" fillId="0" borderId="1" xfId="0" applyNumberFormat="1" applyFont="1" applyBorder="1" applyAlignment="1" applyProtection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" fillId="0" borderId="0" xfId="0" applyFont="1" applyBorder="1" applyAlignment="1"/>
    <xf numFmtId="178" fontId="1" fillId="0" borderId="1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/>
    <xf numFmtId="0" fontId="3" fillId="0" borderId="4" xfId="0" quotePrefix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vertical="center"/>
    </xf>
    <xf numFmtId="184" fontId="3" fillId="0" borderId="4" xfId="0" applyNumberFormat="1" applyFont="1" applyBorder="1" applyAlignment="1" applyProtection="1">
      <alignment vertical="center"/>
    </xf>
    <xf numFmtId="2" fontId="3" fillId="0" borderId="4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2" fontId="3" fillId="0" borderId="8" xfId="0" applyNumberFormat="1" applyFont="1" applyBorder="1" applyAlignment="1" applyProtection="1">
      <alignment vertical="center"/>
    </xf>
    <xf numFmtId="1" fontId="6" fillId="0" borderId="1" xfId="0" applyNumberFormat="1" applyFont="1" applyBorder="1" applyAlignment="1" applyProtection="1">
      <protection locked="0"/>
    </xf>
    <xf numFmtId="1" fontId="1" fillId="0" borderId="4" xfId="0" applyNumberFormat="1" applyFont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/>
    </xf>
    <xf numFmtId="1" fontId="3" fillId="0" borderId="4" xfId="0" applyNumberFormat="1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vertical="center"/>
    </xf>
    <xf numFmtId="1" fontId="3" fillId="0" borderId="4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/>
    <xf numFmtId="1" fontId="3" fillId="0" borderId="9" xfId="0" applyNumberFormat="1" applyFont="1" applyBorder="1" applyAlignment="1" applyProtection="1">
      <alignment vertical="center"/>
    </xf>
    <xf numFmtId="2" fontId="1" fillId="0" borderId="4" xfId="0" applyNumberFormat="1" applyFont="1" applyBorder="1" applyAlignment="1" applyProtection="1"/>
    <xf numFmtId="1" fontId="3" fillId="0" borderId="4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left" vertical="center"/>
    </xf>
    <xf numFmtId="2" fontId="3" fillId="0" borderId="4" xfId="0" applyNumberFormat="1" applyFont="1" applyBorder="1" applyAlignment="1" applyProtection="1">
      <alignment horizontal="left" vertical="center"/>
    </xf>
    <xf numFmtId="1" fontId="3" fillId="0" borderId="4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8" xfId="0" applyNumberFormat="1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2" fontId="3" fillId="0" borderId="8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protection locked="0"/>
    </xf>
    <xf numFmtId="1" fontId="6" fillId="0" borderId="0" xfId="0" applyNumberFormat="1" applyFont="1" applyAlignment="1" applyProtection="1">
      <protection locked="0"/>
    </xf>
    <xf numFmtId="2" fontId="6" fillId="0" borderId="0" xfId="0" applyNumberFormat="1" applyFont="1" applyAlignment="1" applyProtection="1">
      <protection locked="0"/>
    </xf>
    <xf numFmtId="1" fontId="6" fillId="0" borderId="5" xfId="0" applyNumberFormat="1" applyFont="1" applyBorder="1" applyAlignment="1" applyProtection="1">
      <protection locked="0"/>
    </xf>
    <xf numFmtId="2" fontId="1" fillId="0" borderId="0" xfId="0" applyNumberFormat="1" applyFont="1" applyAlignment="1" applyProtection="1"/>
    <xf numFmtId="1" fontId="1" fillId="0" borderId="0" xfId="0" applyNumberFormat="1" applyFont="1" applyAlignment="1" applyProtection="1"/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0" fontId="1" fillId="0" borderId="4" xfId="0" applyFont="1" applyBorder="1" applyAlignment="1" applyProtection="1"/>
    <xf numFmtId="1" fontId="1" fillId="0" borderId="5" xfId="0" applyNumberFormat="1" applyFont="1" applyBorder="1" applyAlignment="1" applyProtection="1"/>
    <xf numFmtId="2" fontId="3" fillId="0" borderId="1" xfId="0" applyNumberFormat="1" applyFont="1" applyBorder="1" applyAlignment="1" applyProtection="1">
      <alignment vertical="center"/>
    </xf>
    <xf numFmtId="2" fontId="3" fillId="0" borderId="1" xfId="0" applyNumberFormat="1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left" vertical="center"/>
    </xf>
    <xf numFmtId="2" fontId="3" fillId="0" borderId="7" xfId="0" applyNumberFormat="1" applyFont="1" applyBorder="1" applyAlignment="1" applyProtection="1">
      <alignment horizontal="left" vertical="center"/>
    </xf>
    <xf numFmtId="178" fontId="1" fillId="0" borderId="4" xfId="0" applyNumberFormat="1" applyFont="1" applyBorder="1" applyAlignment="1" applyProtection="1"/>
    <xf numFmtId="178" fontId="3" fillId="0" borderId="4" xfId="0" applyNumberFormat="1" applyFont="1" applyBorder="1" applyAlignment="1" applyProtection="1">
      <alignment vertical="center"/>
    </xf>
    <xf numFmtId="0" fontId="1" fillId="0" borderId="4" xfId="0" quotePrefix="1" applyFont="1" applyBorder="1" applyAlignment="1" applyProtection="1">
      <alignment horizontal="center"/>
    </xf>
    <xf numFmtId="0" fontId="1" fillId="0" borderId="1" xfId="0" quotePrefix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/>
    <xf numFmtId="0" fontId="1" fillId="0" borderId="3" xfId="0" applyFont="1" applyBorder="1" applyAlignment="1"/>
    <xf numFmtId="176" fontId="1" fillId="0" borderId="7" xfId="0" applyNumberFormat="1" applyFont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/>
    </xf>
    <xf numFmtId="2" fontId="1" fillId="0" borderId="4" xfId="0" applyNumberFormat="1" applyFont="1" applyBorder="1" applyAlignment="1" applyProtection="1">
      <alignment horizontal="left"/>
    </xf>
    <xf numFmtId="176" fontId="1" fillId="0" borderId="6" xfId="0" applyNumberFormat="1" applyFont="1" applyBorder="1" applyAlignment="1" applyProtection="1"/>
    <xf numFmtId="176" fontId="1" fillId="0" borderId="9" xfId="0" applyNumberFormat="1" applyFont="1" applyBorder="1" applyAlignment="1" applyProtection="1"/>
    <xf numFmtId="176" fontId="1" fillId="0" borderId="3" xfId="0" applyNumberFormat="1" applyFont="1" applyBorder="1" applyAlignment="1" applyProtection="1"/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 applyProtection="1"/>
    <xf numFmtId="2" fontId="1" fillId="0" borderId="1" xfId="0" applyNumberFormat="1" applyFont="1" applyBorder="1" applyAlignment="1"/>
    <xf numFmtId="2" fontId="1" fillId="0" borderId="1" xfId="0" applyNumberFormat="1" applyFont="1" applyBorder="1" applyAlignment="1" applyProtection="1">
      <alignment horizontal="left"/>
    </xf>
    <xf numFmtId="185" fontId="3" fillId="0" borderId="1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83" fontId="1" fillId="0" borderId="1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1" fontId="1" fillId="0" borderId="0" xfId="0" applyNumberFormat="1" applyFont="1" applyBorder="1" applyAlignment="1" applyProtection="1">
      <alignment horizontal="left"/>
    </xf>
    <xf numFmtId="0" fontId="0" fillId="0" borderId="0" xfId="0" applyFill="1" applyBorder="1" applyAlignment="1"/>
    <xf numFmtId="0" fontId="1" fillId="0" borderId="9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Fill="1" applyAlignment="1"/>
    <xf numFmtId="180" fontId="3" fillId="2" borderId="7" xfId="0" applyNumberFormat="1" applyFont="1" applyFill="1" applyBorder="1" applyAlignment="1" applyProtection="1">
      <alignment vertical="center"/>
    </xf>
    <xf numFmtId="180" fontId="3" fillId="3" borderId="7" xfId="0" applyNumberFormat="1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Border="1" applyAlignment="1"/>
    <xf numFmtId="183" fontId="11" fillId="0" borderId="0" xfId="0" applyNumberFormat="1" applyFont="1" applyBorder="1" applyAlignment="1" applyProtection="1">
      <alignment horizontal="right" vertical="center"/>
    </xf>
    <xf numFmtId="182" fontId="11" fillId="0" borderId="0" xfId="0" applyNumberFormat="1" applyFont="1" applyBorder="1" applyAlignment="1"/>
    <xf numFmtId="182" fontId="3" fillId="0" borderId="6" xfId="0" applyNumberFormat="1" applyFont="1" applyBorder="1" applyAlignment="1" applyProtection="1">
      <alignment vertical="center"/>
    </xf>
    <xf numFmtId="183" fontId="3" fillId="0" borderId="0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Alignment="1"/>
    <xf numFmtId="186" fontId="3" fillId="3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center"/>
    </xf>
    <xf numFmtId="180" fontId="1" fillId="0" borderId="6" xfId="0" applyNumberFormat="1" applyFont="1" applyBorder="1" applyAlignment="1"/>
    <xf numFmtId="0" fontId="1" fillId="0" borderId="9" xfId="0" applyFont="1" applyBorder="1" applyAlignment="1"/>
    <xf numFmtId="180" fontId="1" fillId="0" borderId="4" xfId="0" applyNumberFormat="1" applyFont="1" applyBorder="1" applyAlignment="1"/>
    <xf numFmtId="0" fontId="1" fillId="0" borderId="11" xfId="0" applyFont="1" applyBorder="1" applyAlignment="1"/>
    <xf numFmtId="0" fontId="1" fillId="0" borderId="0" xfId="0" applyFont="1" applyAlignment="1" applyProtection="1">
      <protection locked="0"/>
    </xf>
    <xf numFmtId="178" fontId="3" fillId="0" borderId="6" xfId="0" applyNumberFormat="1" applyFont="1" applyBorder="1" applyAlignment="1"/>
    <xf numFmtId="1" fontId="3" fillId="0" borderId="6" xfId="0" applyNumberFormat="1" applyFont="1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178" fontId="3" fillId="0" borderId="6" xfId="0" applyNumberFormat="1" applyFont="1" applyBorder="1" applyAlignment="1" applyProtection="1">
      <alignment vertical="center"/>
    </xf>
    <xf numFmtId="2" fontId="3" fillId="0" borderId="9" xfId="0" applyNumberFormat="1" applyFont="1" applyBorder="1" applyAlignment="1" applyProtection="1">
      <alignment horizontal="left" vertical="center"/>
    </xf>
    <xf numFmtId="0" fontId="3" fillId="0" borderId="6" xfId="0" applyFont="1" applyBorder="1" applyAlignment="1">
      <alignment vertical="center"/>
    </xf>
    <xf numFmtId="2" fontId="3" fillId="0" borderId="9" xfId="0" applyNumberFormat="1" applyFont="1" applyBorder="1" applyAlignment="1" applyProtection="1">
      <alignment vertical="center"/>
    </xf>
    <xf numFmtId="2" fontId="3" fillId="0" borderId="7" xfId="0" applyNumberFormat="1" applyFont="1" applyBorder="1" applyAlignment="1" applyProtection="1">
      <alignment vertical="center"/>
    </xf>
    <xf numFmtId="0" fontId="1" fillId="0" borderId="7" xfId="0" applyFont="1" applyBorder="1" applyAlignment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0" borderId="9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quotePrefix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/>
      <protection locked="0"/>
    </xf>
    <xf numFmtId="0" fontId="5" fillId="0" borderId="3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quotePrefix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2"/>
  <sheetViews>
    <sheetView tabSelected="1" view="pageBreakPreview" zoomScale="70" zoomScaleNormal="60" zoomScaleSheetLayoutView="70" workbookViewId="0">
      <selection activeCell="I6" sqref="I6"/>
    </sheetView>
  </sheetViews>
  <sheetFormatPr defaultRowHeight="13.5" x14ac:dyDescent="0.15"/>
  <cols>
    <col min="1" max="1" width="4.625" style="1" customWidth="1"/>
    <col min="2" max="2" width="10.875" style="1" customWidth="1"/>
    <col min="3" max="3" width="5.875" style="1" customWidth="1"/>
    <col min="4" max="4" width="12.875" style="1" bestFit="1" customWidth="1"/>
    <col min="5" max="5" width="9.75" style="1" bestFit="1" customWidth="1"/>
    <col min="6" max="6" width="3.375" style="1" customWidth="1"/>
    <col min="7" max="7" width="8.375" style="1" customWidth="1"/>
    <col min="8" max="8" width="3.375" style="1" customWidth="1"/>
    <col min="9" max="9" width="12.375" style="1" customWidth="1"/>
    <col min="10" max="10" width="10.875" style="1" customWidth="1"/>
    <col min="11" max="11" width="10.375" style="1" bestFit="1" customWidth="1"/>
    <col min="12" max="12" width="7.125" style="1" customWidth="1"/>
    <col min="13" max="13" width="10.875" style="1" customWidth="1"/>
    <col min="14" max="26" width="10.875" style="1" hidden="1" customWidth="1"/>
    <col min="27" max="27" width="10.875" style="1" customWidth="1"/>
  </cols>
  <sheetData>
    <row r="1" spans="1:24" x14ac:dyDescent="0.15">
      <c r="P1" s="2">
        <f>IF(D7&lt;=1,190.7,Q1)</f>
        <v>190.7</v>
      </c>
      <c r="Q1" s="3">
        <f>IF(D7&lt;=1.5,190.7,R1)</f>
        <v>190.7</v>
      </c>
      <c r="R1" s="3">
        <f>IF(D7&lt;=2.5,190.7,S1)</f>
        <v>190.7</v>
      </c>
      <c r="S1" s="3">
        <f>IF(D7&lt;=3.5,216.3,T1)</f>
        <v>216.3</v>
      </c>
      <c r="T1" s="3">
        <f>IF(D7&lt;=4.5,267.4,U1)</f>
        <v>267.39999999999998</v>
      </c>
      <c r="U1" s="3">
        <f>IF(D7&lt;=5.5,355.6,V1)</f>
        <v>355.6</v>
      </c>
      <c r="V1" s="3"/>
    </row>
    <row r="2" spans="1:24" ht="17.25" x14ac:dyDescent="0.2">
      <c r="B2" s="4"/>
      <c r="C2" s="5"/>
      <c r="D2" s="4" t="s">
        <v>185</v>
      </c>
      <c r="E2" s="5"/>
      <c r="F2" s="5"/>
      <c r="G2" s="5"/>
      <c r="H2" s="5"/>
      <c r="I2" s="5"/>
      <c r="J2" s="4" t="s">
        <v>0</v>
      </c>
      <c r="K2" s="6"/>
      <c r="L2" s="5"/>
      <c r="M2" s="135"/>
      <c r="P2" s="2">
        <f>IF(D7&lt;=1,101.6,Q2)</f>
        <v>139.80000000000001</v>
      </c>
      <c r="Q2" s="3">
        <f>IF(D7&lt;=1.5,114.3,R2)</f>
        <v>139.80000000000001</v>
      </c>
      <c r="R2" s="3">
        <f>IF(D7&lt;=2.5,139.8,S2)</f>
        <v>139.80000000000001</v>
      </c>
      <c r="S2" s="3">
        <f>IF(D7&lt;=3.5,165.2,T2)</f>
        <v>165.2</v>
      </c>
      <c r="T2" s="3">
        <f>IF(D7&lt;=4.5,190.7,U2)</f>
        <v>190.7</v>
      </c>
      <c r="U2" s="3">
        <f>IF(D7&lt;=5.5,355.6,V2)</f>
        <v>355.6</v>
      </c>
      <c r="V2" s="3"/>
    </row>
    <row r="3" spans="1:24" ht="17.25" x14ac:dyDescent="0.2">
      <c r="B3" s="10"/>
      <c r="C3" s="10"/>
      <c r="D3" s="173" t="s">
        <v>142</v>
      </c>
      <c r="E3" s="174"/>
      <c r="F3" s="10"/>
      <c r="G3" s="10"/>
      <c r="H3" s="10"/>
      <c r="I3" s="11"/>
      <c r="J3" s="5"/>
      <c r="K3" s="6"/>
      <c r="L3" s="5"/>
      <c r="M3" s="135"/>
      <c r="P3" s="24">
        <v>101.6</v>
      </c>
      <c r="Q3" s="7">
        <v>114.3</v>
      </c>
      <c r="R3" s="7">
        <v>139.80000000000001</v>
      </c>
      <c r="S3" s="7">
        <v>165.2</v>
      </c>
      <c r="T3" s="7">
        <v>190.7</v>
      </c>
      <c r="U3" s="14" t="s">
        <v>1</v>
      </c>
      <c r="V3" s="14" t="s">
        <v>1</v>
      </c>
      <c r="W3" s="15"/>
      <c r="X3" s="16"/>
    </row>
    <row r="4" spans="1:24" ht="17.25" x14ac:dyDescent="0.2">
      <c r="B4" s="17" t="s">
        <v>3</v>
      </c>
      <c r="C4" s="18"/>
      <c r="D4" s="137">
        <v>1</v>
      </c>
      <c r="E4" s="19" t="s">
        <v>4</v>
      </c>
      <c r="F4" s="20"/>
      <c r="G4" s="20"/>
      <c r="H4" s="21"/>
      <c r="I4" s="136">
        <v>5</v>
      </c>
      <c r="J4" s="22" t="s">
        <v>1</v>
      </c>
      <c r="K4" s="6"/>
      <c r="L4" s="5"/>
      <c r="M4" s="5"/>
      <c r="O4" s="23" t="s">
        <v>5</v>
      </c>
      <c r="P4" s="24">
        <v>190.7</v>
      </c>
      <c r="Q4" s="7">
        <v>190.7</v>
      </c>
      <c r="R4" s="7">
        <v>190.7</v>
      </c>
      <c r="S4" s="7">
        <v>216.3</v>
      </c>
      <c r="T4" s="7">
        <v>267.39999999999998</v>
      </c>
      <c r="U4" s="8">
        <v>355.6</v>
      </c>
      <c r="V4" s="7">
        <f>HLOOKUP(P2,P3:U4,2)</f>
        <v>190.7</v>
      </c>
      <c r="W4" s="25" t="s">
        <v>6</v>
      </c>
      <c r="X4" s="16"/>
    </row>
    <row r="5" spans="1:24" ht="17.25" x14ac:dyDescent="0.2">
      <c r="B5" s="17" t="s">
        <v>7</v>
      </c>
      <c r="C5" s="18"/>
      <c r="D5" s="137">
        <v>2</v>
      </c>
      <c r="E5" s="19"/>
      <c r="F5" s="20"/>
      <c r="G5" s="20"/>
      <c r="H5" s="20"/>
      <c r="I5" s="136"/>
      <c r="J5" s="26"/>
      <c r="K5" s="6"/>
      <c r="L5" s="5"/>
      <c r="M5" s="5"/>
      <c r="O5" s="23" t="s">
        <v>8</v>
      </c>
      <c r="P5" s="24">
        <v>5.3</v>
      </c>
      <c r="Q5" s="7">
        <v>5.3</v>
      </c>
      <c r="R5" s="7">
        <v>5.3</v>
      </c>
      <c r="S5" s="7">
        <v>5.8</v>
      </c>
      <c r="T5" s="7">
        <v>6.6</v>
      </c>
      <c r="U5" s="8"/>
      <c r="V5" s="7">
        <f>HLOOKUP(P2,P3:U5,3)</f>
        <v>5.3</v>
      </c>
      <c r="W5" s="25" t="s">
        <v>1</v>
      </c>
      <c r="X5" s="16"/>
    </row>
    <row r="6" spans="1:24" ht="17.25" x14ac:dyDescent="0.2">
      <c r="B6" s="17" t="s">
        <v>9</v>
      </c>
      <c r="C6" s="18"/>
      <c r="D6" s="32">
        <f>ROUNDDOWN(D4/2,3)</f>
        <v>0.5</v>
      </c>
      <c r="E6" s="28" t="s">
        <v>10</v>
      </c>
      <c r="F6" s="29" t="s">
        <v>1</v>
      </c>
      <c r="G6" s="29" t="s">
        <v>11</v>
      </c>
      <c r="H6" s="29" t="s">
        <v>1</v>
      </c>
      <c r="I6" s="145">
        <v>0.3</v>
      </c>
      <c r="J6" s="26"/>
      <c r="K6" s="6"/>
      <c r="L6" s="5"/>
      <c r="M6" s="5"/>
      <c r="O6" s="23" t="s">
        <v>12</v>
      </c>
      <c r="P6" s="24">
        <v>101.6</v>
      </c>
      <c r="Q6" s="7">
        <v>114.3</v>
      </c>
      <c r="R6" s="7">
        <v>139.80000000000001</v>
      </c>
      <c r="S6" s="7">
        <v>165.2</v>
      </c>
      <c r="T6" s="7">
        <v>190.7</v>
      </c>
      <c r="U6" s="8"/>
      <c r="V6" s="7">
        <f>HLOOKUP(P2,P3:U6,4)</f>
        <v>139.80000000000001</v>
      </c>
      <c r="W6" s="25" t="s">
        <v>13</v>
      </c>
      <c r="X6" s="16"/>
    </row>
    <row r="7" spans="1:24" ht="17.25" x14ac:dyDescent="0.2">
      <c r="A7" s="30"/>
      <c r="B7" s="17" t="s">
        <v>14</v>
      </c>
      <c r="C7" s="31" t="s">
        <v>15</v>
      </c>
      <c r="D7" s="32">
        <f>D4*D5</f>
        <v>2</v>
      </c>
      <c r="E7" s="33"/>
      <c r="F7" s="34" t="str">
        <f>IF(D7&gt;4.5,"標識板標準外です。入力をやり直して下さい。","")</f>
        <v/>
      </c>
      <c r="G7" s="35"/>
      <c r="H7" s="36"/>
      <c r="I7" s="36"/>
      <c r="J7" s="5"/>
      <c r="K7" s="5"/>
      <c r="L7" s="5"/>
      <c r="M7" s="5"/>
      <c r="O7" s="23" t="s">
        <v>16</v>
      </c>
      <c r="P7" s="24">
        <v>4.2</v>
      </c>
      <c r="Q7" s="7">
        <v>4.5</v>
      </c>
      <c r="R7" s="7">
        <v>4.5</v>
      </c>
      <c r="S7" s="7">
        <v>4.5</v>
      </c>
      <c r="T7" s="7">
        <v>5.3</v>
      </c>
      <c r="U7" s="8"/>
      <c r="V7" s="7">
        <f>HLOOKUP(P2,P3:U7,5)</f>
        <v>4.5</v>
      </c>
      <c r="W7" s="25" t="s">
        <v>13</v>
      </c>
      <c r="X7" s="16"/>
    </row>
    <row r="8" spans="1:24" ht="17.25" x14ac:dyDescent="0.2">
      <c r="A8" s="30"/>
      <c r="B8" s="17" t="s">
        <v>17</v>
      </c>
      <c r="C8" s="20"/>
      <c r="D8" s="32">
        <f>D5/D4</f>
        <v>2</v>
      </c>
      <c r="E8" s="37"/>
      <c r="F8" s="35"/>
      <c r="G8" s="20"/>
      <c r="H8" s="20"/>
      <c r="I8" s="20"/>
      <c r="J8" s="5"/>
      <c r="K8" s="139"/>
      <c r="L8" s="139"/>
      <c r="M8" s="139"/>
      <c r="O8" s="38" t="s">
        <v>143</v>
      </c>
      <c r="P8" s="70">
        <v>4.24</v>
      </c>
      <c r="Q8" s="68">
        <v>4.03</v>
      </c>
      <c r="R8" s="68">
        <v>6.95</v>
      </c>
      <c r="S8" s="68">
        <v>11.15</v>
      </c>
      <c r="T8" s="68">
        <v>14.48</v>
      </c>
      <c r="U8" s="121"/>
      <c r="V8" s="68">
        <f>HLOOKUP(P2,P3:U8,6)</f>
        <v>6.95</v>
      </c>
      <c r="W8" s="122" t="s">
        <v>13</v>
      </c>
      <c r="X8" s="16"/>
    </row>
    <row r="9" spans="1:24" ht="17.25" x14ac:dyDescent="0.2">
      <c r="B9" s="5"/>
      <c r="C9" s="5"/>
      <c r="D9" s="5"/>
      <c r="E9" s="5"/>
      <c r="F9" s="5"/>
      <c r="G9" s="163" t="s">
        <v>19</v>
      </c>
      <c r="H9" s="164"/>
      <c r="I9" s="142">
        <f>ROUND(M38,0)</f>
        <v>267</v>
      </c>
      <c r="J9" s="40" t="s">
        <v>144</v>
      </c>
      <c r="K9" s="140"/>
      <c r="L9" s="139"/>
      <c r="M9" s="141"/>
      <c r="O9" s="23" t="s">
        <v>145</v>
      </c>
      <c r="P9" s="70">
        <v>2</v>
      </c>
      <c r="Q9" s="68">
        <v>1.9</v>
      </c>
      <c r="R9" s="68">
        <v>3.05</v>
      </c>
      <c r="S9" s="68">
        <v>2.76</v>
      </c>
      <c r="T9" s="68">
        <v>2.42</v>
      </c>
      <c r="U9" s="121"/>
      <c r="V9" s="68">
        <f>HLOOKUP(P2,P3:U9,7)</f>
        <v>3.05</v>
      </c>
      <c r="W9" s="25" t="s">
        <v>13</v>
      </c>
      <c r="X9" s="16"/>
    </row>
    <row r="10" spans="1:24" ht="17.25" x14ac:dyDescent="0.2">
      <c r="B10" s="5"/>
      <c r="C10" s="5"/>
      <c r="D10" s="5"/>
      <c r="E10" s="5"/>
      <c r="F10" s="41" t="s">
        <v>146</v>
      </c>
      <c r="G10" s="163" t="s">
        <v>23</v>
      </c>
      <c r="H10" s="164"/>
      <c r="I10" s="42">
        <f>ROUND(M50,0)</f>
        <v>20</v>
      </c>
      <c r="J10" s="40" t="s">
        <v>144</v>
      </c>
      <c r="K10" s="5"/>
      <c r="L10" s="5"/>
      <c r="M10" s="5"/>
      <c r="O10" s="23" t="s">
        <v>24</v>
      </c>
      <c r="P10" s="43">
        <v>200</v>
      </c>
      <c r="Q10" s="44">
        <v>200</v>
      </c>
      <c r="R10" s="44">
        <v>200</v>
      </c>
      <c r="S10" s="44">
        <v>250</v>
      </c>
      <c r="T10" s="44">
        <v>250</v>
      </c>
      <c r="U10" s="8"/>
      <c r="V10" s="44">
        <f>HLOOKUP(P2,P3:U10,8)</f>
        <v>200</v>
      </c>
      <c r="W10" s="25" t="s">
        <v>1</v>
      </c>
      <c r="X10" s="16"/>
    </row>
    <row r="11" spans="1:24" ht="17.25" x14ac:dyDescent="0.2">
      <c r="B11" s="5"/>
      <c r="C11" s="5"/>
      <c r="D11" s="5"/>
      <c r="E11" s="5"/>
      <c r="F11" s="5"/>
      <c r="G11" s="163" t="s">
        <v>25</v>
      </c>
      <c r="H11" s="164"/>
      <c r="I11" s="39">
        <f>I9+I10</f>
        <v>287</v>
      </c>
      <c r="J11" s="40" t="s">
        <v>144</v>
      </c>
      <c r="K11" s="5"/>
      <c r="L11" s="5"/>
      <c r="M11" s="5"/>
      <c r="O11" s="23" t="s">
        <v>26</v>
      </c>
      <c r="P11" s="43">
        <v>190</v>
      </c>
      <c r="Q11" s="44">
        <v>190</v>
      </c>
      <c r="R11" s="44">
        <v>190</v>
      </c>
      <c r="S11" s="44">
        <v>220</v>
      </c>
      <c r="T11" s="44">
        <v>260</v>
      </c>
      <c r="U11" s="8"/>
      <c r="V11" s="44">
        <f>HLOOKUP(P2,P3:U11,9)</f>
        <v>190</v>
      </c>
      <c r="W11" s="25" t="s">
        <v>1</v>
      </c>
      <c r="X11" s="16"/>
    </row>
    <row r="12" spans="1:24" ht="17.2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38" t="s">
        <v>27</v>
      </c>
      <c r="P12" s="43">
        <v>12</v>
      </c>
      <c r="Q12" s="44">
        <v>12</v>
      </c>
      <c r="R12" s="44">
        <v>16</v>
      </c>
      <c r="S12" s="44">
        <v>19</v>
      </c>
      <c r="T12" s="44">
        <v>19</v>
      </c>
      <c r="U12" s="8"/>
      <c r="V12" s="44">
        <f>HLOOKUP(P2,P3:U12,10)</f>
        <v>16</v>
      </c>
      <c r="W12" s="25" t="s">
        <v>1</v>
      </c>
      <c r="X12" s="16"/>
    </row>
    <row r="13" spans="1:24" ht="17.25" x14ac:dyDescent="0.15">
      <c r="B13" s="45"/>
      <c r="C13" s="20"/>
      <c r="D13" s="46" t="s">
        <v>28</v>
      </c>
      <c r="E13" s="47" t="str">
        <f>D2</f>
        <v>Ｆ1型標識</v>
      </c>
      <c r="F13" s="20"/>
      <c r="G13" s="20"/>
      <c r="H13" s="20"/>
      <c r="I13" s="20"/>
      <c r="J13" s="20"/>
      <c r="K13" s="20"/>
      <c r="L13" s="46" t="s">
        <v>29</v>
      </c>
      <c r="M13" s="48"/>
      <c r="N13" s="49"/>
      <c r="O13" s="38" t="s">
        <v>30</v>
      </c>
      <c r="P13" s="43">
        <v>260</v>
      </c>
      <c r="Q13" s="44">
        <v>260</v>
      </c>
      <c r="R13" s="44">
        <v>300</v>
      </c>
      <c r="S13" s="44">
        <v>350</v>
      </c>
      <c r="T13" s="44">
        <v>400</v>
      </c>
      <c r="U13" s="8"/>
      <c r="V13" s="44">
        <f>HLOOKUP(P2,P3:U13,11)</f>
        <v>300</v>
      </c>
      <c r="W13" s="50"/>
      <c r="X13" s="16"/>
    </row>
    <row r="14" spans="1:24" ht="17.25" x14ac:dyDescent="0.15">
      <c r="B14" s="163" t="s">
        <v>147</v>
      </c>
      <c r="C14" s="164"/>
      <c r="D14" s="51" t="s">
        <v>32</v>
      </c>
      <c r="E14" s="17" t="s">
        <v>33</v>
      </c>
      <c r="F14" s="20"/>
      <c r="G14" s="20"/>
      <c r="H14" s="20"/>
      <c r="I14" s="51" t="s">
        <v>34</v>
      </c>
      <c r="J14" s="17" t="s">
        <v>35</v>
      </c>
      <c r="K14" s="51" t="s">
        <v>36</v>
      </c>
      <c r="L14" s="51" t="s">
        <v>37</v>
      </c>
      <c r="M14" s="52" t="s">
        <v>38</v>
      </c>
      <c r="N14" s="49"/>
      <c r="O14" s="38" t="s">
        <v>39</v>
      </c>
      <c r="P14" s="53" t="s">
        <v>148</v>
      </c>
      <c r="Q14" s="54" t="s">
        <v>148</v>
      </c>
      <c r="R14" s="54" t="s">
        <v>149</v>
      </c>
      <c r="S14" s="54" t="s">
        <v>149</v>
      </c>
      <c r="T14" s="54" t="s">
        <v>149</v>
      </c>
      <c r="U14" s="8"/>
      <c r="V14" s="55" t="str">
        <f>HLOOKUP(P2,P3:U14,12)</f>
        <v xml:space="preserve">  M22</v>
      </c>
      <c r="W14" s="50"/>
      <c r="X14" s="16"/>
    </row>
    <row r="15" spans="1:24" ht="17.25" x14ac:dyDescent="0.2">
      <c r="B15" s="163" t="s">
        <v>44</v>
      </c>
      <c r="C15" s="164"/>
      <c r="D15" s="56" t="s">
        <v>45</v>
      </c>
      <c r="E15" s="57">
        <f>P1</f>
        <v>190.7</v>
      </c>
      <c r="F15" s="46" t="s">
        <v>46</v>
      </c>
      <c r="G15" s="21">
        <f>V5</f>
        <v>5.3</v>
      </c>
      <c r="H15" s="46" t="s">
        <v>47</v>
      </c>
      <c r="I15" s="58">
        <f>HLOOKUP(E16,P62:T63,2)</f>
        <v>6000</v>
      </c>
      <c r="J15" s="59">
        <f>U57</f>
        <v>24.2</v>
      </c>
      <c r="K15" s="59">
        <f>ROUND(J15*I15/1000,2)</f>
        <v>145.19999999999999</v>
      </c>
      <c r="L15" s="60">
        <v>1</v>
      </c>
      <c r="M15" s="61">
        <f t="shared" ref="M15:M23" si="0">ROUND(L15*K15,2)</f>
        <v>145.19999999999999</v>
      </c>
      <c r="N15" s="49"/>
      <c r="O15" s="38" t="s">
        <v>48</v>
      </c>
      <c r="P15" s="43">
        <v>22</v>
      </c>
      <c r="Q15" s="44">
        <v>22</v>
      </c>
      <c r="R15" s="44">
        <v>22</v>
      </c>
      <c r="S15" s="44">
        <v>22</v>
      </c>
      <c r="T15" s="44">
        <v>25</v>
      </c>
      <c r="U15" s="62"/>
      <c r="V15" s="55">
        <f>HLOOKUP(P2,P3:U15,13)</f>
        <v>22</v>
      </c>
      <c r="W15" s="50"/>
      <c r="X15" s="16"/>
    </row>
    <row r="16" spans="1:24" ht="17.25" x14ac:dyDescent="0.2">
      <c r="B16" s="163" t="s">
        <v>150</v>
      </c>
      <c r="C16" s="164"/>
      <c r="D16" s="51" t="s">
        <v>50</v>
      </c>
      <c r="E16" s="57">
        <f>V6</f>
        <v>139.80000000000001</v>
      </c>
      <c r="F16" s="46" t="s">
        <v>46</v>
      </c>
      <c r="G16" s="21">
        <f>V7</f>
        <v>4.5</v>
      </c>
      <c r="H16" s="46" t="s">
        <v>47</v>
      </c>
      <c r="I16" s="58">
        <f>HLOOKUP(E16,P65:T66,2)</f>
        <v>3040</v>
      </c>
      <c r="J16" s="59">
        <f>U55</f>
        <v>15</v>
      </c>
      <c r="K16" s="59">
        <f>ROUND(J16*I16/1000,2)</f>
        <v>45.6</v>
      </c>
      <c r="L16" s="60">
        <v>1</v>
      </c>
      <c r="M16" s="61">
        <f t="shared" si="0"/>
        <v>45.6</v>
      </c>
      <c r="N16" s="49"/>
      <c r="O16" s="38" t="s">
        <v>51</v>
      </c>
      <c r="P16" s="43">
        <v>450</v>
      </c>
      <c r="Q16" s="44">
        <v>450</v>
      </c>
      <c r="R16" s="44">
        <v>450</v>
      </c>
      <c r="S16" s="44">
        <v>450</v>
      </c>
      <c r="T16" s="44">
        <v>500</v>
      </c>
      <c r="U16" s="62"/>
      <c r="V16" s="55">
        <f>HLOOKUP(P2,P3:U16,14)</f>
        <v>450</v>
      </c>
      <c r="W16" s="50"/>
      <c r="X16" s="16"/>
    </row>
    <row r="17" spans="2:24" ht="17.25" x14ac:dyDescent="0.15">
      <c r="B17" s="163" t="s">
        <v>72</v>
      </c>
      <c r="C17" s="164"/>
      <c r="D17" s="51" t="s">
        <v>56</v>
      </c>
      <c r="E17" s="65">
        <f>V12</f>
        <v>16</v>
      </c>
      <c r="F17" s="46" t="s">
        <v>46</v>
      </c>
      <c r="G17" s="66">
        <f>V13</f>
        <v>300</v>
      </c>
      <c r="H17" s="46" t="s">
        <v>57</v>
      </c>
      <c r="I17" s="67" t="s">
        <v>47</v>
      </c>
      <c r="J17" s="57">
        <f>ROUND(7850*E17/1000,1)</f>
        <v>125.6</v>
      </c>
      <c r="K17" s="59">
        <f>V8</f>
        <v>6.95</v>
      </c>
      <c r="L17" s="65">
        <v>2</v>
      </c>
      <c r="M17" s="61">
        <f t="shared" si="0"/>
        <v>13.9</v>
      </c>
      <c r="N17" s="49"/>
      <c r="O17" s="38" t="s">
        <v>23</v>
      </c>
      <c r="P17" s="53" t="s">
        <v>82</v>
      </c>
      <c r="Q17" s="54" t="s">
        <v>151</v>
      </c>
      <c r="R17" s="54" t="s">
        <v>152</v>
      </c>
      <c r="S17" s="54" t="s">
        <v>83</v>
      </c>
      <c r="T17" s="54" t="s">
        <v>83</v>
      </c>
      <c r="U17" s="44"/>
      <c r="V17" s="44" t="str">
        <f>HLOOKUP(P2,P3:U17,15)</f>
        <v>　M22</v>
      </c>
      <c r="W17" s="8"/>
      <c r="X17" s="16"/>
    </row>
    <row r="18" spans="2:24" ht="17.25" x14ac:dyDescent="0.15">
      <c r="B18" s="163" t="s">
        <v>59</v>
      </c>
      <c r="C18" s="164"/>
      <c r="D18" s="51" t="s">
        <v>50</v>
      </c>
      <c r="E18" s="65">
        <v>12</v>
      </c>
      <c r="F18" s="46" t="s">
        <v>46</v>
      </c>
      <c r="G18" s="66">
        <f>IF(E14=406.4,95,ROUND((G17-E16)/2-10,0))</f>
        <v>70</v>
      </c>
      <c r="H18" s="18"/>
      <c r="I18" s="65">
        <f>V19</f>
        <v>150</v>
      </c>
      <c r="J18" s="57">
        <v>94.2</v>
      </c>
      <c r="K18" s="59">
        <f>V23</f>
        <v>0.61</v>
      </c>
      <c r="L18" s="65">
        <v>6</v>
      </c>
      <c r="M18" s="61">
        <f t="shared" si="0"/>
        <v>3.66</v>
      </c>
      <c r="N18" s="49"/>
      <c r="O18" s="38" t="s">
        <v>58</v>
      </c>
      <c r="P18" s="43">
        <v>160</v>
      </c>
      <c r="Q18" s="44">
        <v>160</v>
      </c>
      <c r="R18" s="44">
        <v>200</v>
      </c>
      <c r="S18" s="44">
        <v>200</v>
      </c>
      <c r="T18" s="44">
        <v>200</v>
      </c>
      <c r="U18" s="44"/>
      <c r="V18" s="44">
        <f>HLOOKUP(P2,P3:U18,16)</f>
        <v>200</v>
      </c>
      <c r="W18" s="8"/>
      <c r="X18" s="16"/>
    </row>
    <row r="19" spans="2:24" ht="17.25" x14ac:dyDescent="0.15">
      <c r="B19" s="163" t="s">
        <v>153</v>
      </c>
      <c r="C19" s="164"/>
      <c r="D19" s="51" t="s">
        <v>50</v>
      </c>
      <c r="E19" s="65">
        <v>12</v>
      </c>
      <c r="F19" s="46" t="s">
        <v>46</v>
      </c>
      <c r="G19" s="66">
        <f>IF(E14=406.4,95,ROUND((G17-E16)/2-10,0))</f>
        <v>70</v>
      </c>
      <c r="H19" s="18"/>
      <c r="I19" s="65">
        <f>V20</f>
        <v>139</v>
      </c>
      <c r="J19" s="57">
        <v>94.2</v>
      </c>
      <c r="K19" s="59">
        <f>V24</f>
        <v>0.9</v>
      </c>
      <c r="L19" s="65">
        <v>2</v>
      </c>
      <c r="M19" s="61">
        <f t="shared" si="0"/>
        <v>1.8</v>
      </c>
      <c r="N19" s="49"/>
      <c r="O19" s="38" t="s">
        <v>60</v>
      </c>
      <c r="P19" s="43">
        <v>150</v>
      </c>
      <c r="Q19" s="44">
        <v>150</v>
      </c>
      <c r="R19" s="44">
        <v>150</v>
      </c>
      <c r="S19" s="44">
        <v>150</v>
      </c>
      <c r="T19" s="44">
        <v>150</v>
      </c>
      <c r="U19" s="44"/>
      <c r="V19" s="44">
        <f>HLOOKUP(P2,P3:U19,17)</f>
        <v>150</v>
      </c>
      <c r="W19" s="68"/>
      <c r="X19" s="16"/>
    </row>
    <row r="20" spans="2:24" ht="17.25" x14ac:dyDescent="0.15">
      <c r="B20" s="163" t="s">
        <v>154</v>
      </c>
      <c r="C20" s="164"/>
      <c r="D20" s="51" t="s">
        <v>50</v>
      </c>
      <c r="E20" s="65">
        <v>12</v>
      </c>
      <c r="F20" s="46" t="s">
        <v>46</v>
      </c>
      <c r="G20" s="69">
        <f>IF(E14=406.4,95,ROUND((G17-E16)/2-10,0))</f>
        <v>70</v>
      </c>
      <c r="H20" s="18"/>
      <c r="I20" s="65">
        <f>V21</f>
        <v>234</v>
      </c>
      <c r="J20" s="57">
        <v>94.2</v>
      </c>
      <c r="K20" s="59">
        <f>V25</f>
        <v>1.02</v>
      </c>
      <c r="L20" s="65">
        <v>4</v>
      </c>
      <c r="M20" s="61">
        <f t="shared" si="0"/>
        <v>4.08</v>
      </c>
      <c r="N20" s="49"/>
      <c r="O20" s="38" t="s">
        <v>60</v>
      </c>
      <c r="P20" s="43">
        <v>139</v>
      </c>
      <c r="Q20" s="44">
        <v>139</v>
      </c>
      <c r="R20" s="44">
        <v>139</v>
      </c>
      <c r="S20" s="44">
        <v>123</v>
      </c>
      <c r="T20" s="44">
        <v>147</v>
      </c>
      <c r="U20" s="44"/>
      <c r="V20" s="44">
        <f>HLOOKUP(P2,P3:U20,18)</f>
        <v>139</v>
      </c>
      <c r="W20" s="68"/>
      <c r="X20" s="16"/>
    </row>
    <row r="21" spans="2:24" ht="17.25" x14ac:dyDescent="0.15">
      <c r="B21" s="175" t="s">
        <v>155</v>
      </c>
      <c r="C21" s="176"/>
      <c r="D21" s="51" t="s">
        <v>50</v>
      </c>
      <c r="E21" s="65">
        <f>V15</f>
        <v>22</v>
      </c>
      <c r="F21" s="46" t="s">
        <v>46</v>
      </c>
      <c r="G21" s="66">
        <f>V16</f>
        <v>450</v>
      </c>
      <c r="H21" s="20"/>
      <c r="I21" s="65">
        <f>G21</f>
        <v>450</v>
      </c>
      <c r="J21" s="57">
        <f>ROUND(7850*E21/1000,1)</f>
        <v>172.7</v>
      </c>
      <c r="K21" s="59">
        <f>IF(E15=267.4,38.06,ROUND(J21*(G21*I21-(E15/2)^2*PI())/1000000,2))</f>
        <v>30.04</v>
      </c>
      <c r="L21" s="65">
        <v>1</v>
      </c>
      <c r="M21" s="61">
        <f t="shared" si="0"/>
        <v>30.04</v>
      </c>
      <c r="N21" s="49"/>
      <c r="O21" s="38" t="s">
        <v>60</v>
      </c>
      <c r="P21" s="43">
        <v>238</v>
      </c>
      <c r="Q21" s="44">
        <v>238</v>
      </c>
      <c r="R21" s="44">
        <v>234</v>
      </c>
      <c r="S21" s="44">
        <v>231</v>
      </c>
      <c r="T21" s="44">
        <v>281</v>
      </c>
      <c r="U21" s="44"/>
      <c r="V21" s="44">
        <f>HLOOKUP(P2,P3:U21,19)</f>
        <v>234</v>
      </c>
      <c r="W21" s="68"/>
      <c r="X21" s="16"/>
    </row>
    <row r="22" spans="2:24" ht="17.25" x14ac:dyDescent="0.15">
      <c r="B22" s="163" t="s">
        <v>156</v>
      </c>
      <c r="C22" s="164"/>
      <c r="D22" s="51" t="s">
        <v>50</v>
      </c>
      <c r="E22" s="65">
        <v>12</v>
      </c>
      <c r="F22" s="46" t="s">
        <v>46</v>
      </c>
      <c r="G22" s="123">
        <f>V26</f>
        <v>120</v>
      </c>
      <c r="H22" s="20"/>
      <c r="I22" s="65">
        <v>200</v>
      </c>
      <c r="J22" s="57">
        <v>94.2</v>
      </c>
      <c r="K22" s="59">
        <f>V28</f>
        <v>1.32</v>
      </c>
      <c r="L22" s="65">
        <v>2</v>
      </c>
      <c r="M22" s="61">
        <f t="shared" si="0"/>
        <v>2.64</v>
      </c>
      <c r="N22" s="49"/>
      <c r="O22" s="38" t="s">
        <v>63</v>
      </c>
      <c r="P22" s="70">
        <v>0.22</v>
      </c>
      <c r="Q22" s="68">
        <v>0.22</v>
      </c>
      <c r="R22" s="68">
        <v>0.5</v>
      </c>
      <c r="S22" s="68">
        <v>0.52</v>
      </c>
      <c r="T22" s="68">
        <v>0.52</v>
      </c>
      <c r="U22" s="68"/>
      <c r="V22" s="68">
        <f>HLOOKUP(P2,P3:U22,20)</f>
        <v>0.5</v>
      </c>
      <c r="W22" s="68"/>
      <c r="X22" s="16"/>
    </row>
    <row r="23" spans="2:24" ht="17.25" x14ac:dyDescent="0.15">
      <c r="B23" s="163" t="s">
        <v>156</v>
      </c>
      <c r="C23" s="164"/>
      <c r="D23" s="51" t="s">
        <v>50</v>
      </c>
      <c r="E23" s="65">
        <v>12</v>
      </c>
      <c r="F23" s="46" t="s">
        <v>46</v>
      </c>
      <c r="G23" s="66">
        <f>V27</f>
        <v>153</v>
      </c>
      <c r="H23" s="20"/>
      <c r="I23" s="65">
        <v>200</v>
      </c>
      <c r="J23" s="57">
        <v>94.2</v>
      </c>
      <c r="K23" s="59">
        <f>V29</f>
        <v>1.66</v>
      </c>
      <c r="L23" s="65">
        <v>4</v>
      </c>
      <c r="M23" s="61">
        <f t="shared" si="0"/>
        <v>6.64</v>
      </c>
      <c r="N23" s="49"/>
      <c r="O23" s="38" t="s">
        <v>63</v>
      </c>
      <c r="P23" s="70">
        <v>0.6</v>
      </c>
      <c r="Q23" s="68">
        <v>0.56000000000000005</v>
      </c>
      <c r="R23" s="68">
        <v>0.61</v>
      </c>
      <c r="S23" s="68">
        <v>0.71</v>
      </c>
      <c r="T23" s="68">
        <v>0.81</v>
      </c>
      <c r="U23" s="68"/>
      <c r="V23" s="68">
        <f>HLOOKUP(P2,P3:U23,21)</f>
        <v>0.61</v>
      </c>
      <c r="W23" s="68"/>
      <c r="X23" s="16"/>
    </row>
    <row r="24" spans="2:24" ht="17.25" x14ac:dyDescent="0.15">
      <c r="B24" s="163"/>
      <c r="C24" s="164"/>
      <c r="D24" s="51"/>
      <c r="E24" s="65"/>
      <c r="F24" s="46"/>
      <c r="G24" s="66"/>
      <c r="H24" s="20"/>
      <c r="I24" s="65"/>
      <c r="J24" s="57"/>
      <c r="K24" s="59"/>
      <c r="L24" s="65"/>
      <c r="M24" s="61"/>
      <c r="N24" s="49"/>
      <c r="O24" s="38" t="s">
        <v>63</v>
      </c>
      <c r="P24" s="70">
        <v>0.9</v>
      </c>
      <c r="Q24" s="68">
        <v>0.82</v>
      </c>
      <c r="R24" s="68">
        <v>0.9</v>
      </c>
      <c r="S24" s="68">
        <v>0.93</v>
      </c>
      <c r="T24" s="68">
        <v>1.3</v>
      </c>
      <c r="U24" s="68"/>
      <c r="V24" s="68">
        <f>HLOOKUP(P2,P3:U24,22)</f>
        <v>0.9</v>
      </c>
      <c r="W24" s="68"/>
      <c r="X24" s="16"/>
    </row>
    <row r="25" spans="2:24" ht="17.25" x14ac:dyDescent="0.15">
      <c r="B25" s="163" t="s">
        <v>157</v>
      </c>
      <c r="C25" s="164"/>
      <c r="D25" s="51" t="s">
        <v>50</v>
      </c>
      <c r="E25" s="65">
        <v>12</v>
      </c>
      <c r="F25" s="46" t="s">
        <v>46</v>
      </c>
      <c r="G25" s="66">
        <f>V18</f>
        <v>200</v>
      </c>
      <c r="H25" s="20"/>
      <c r="I25" s="65">
        <f>G25</f>
        <v>200</v>
      </c>
      <c r="J25" s="57">
        <v>94.2</v>
      </c>
      <c r="K25" s="59">
        <f>V9</f>
        <v>3.05</v>
      </c>
      <c r="L25" s="65">
        <v>2</v>
      </c>
      <c r="M25" s="61">
        <f>ROUND(L25*K25,2)</f>
        <v>6.1</v>
      </c>
      <c r="N25" s="49"/>
      <c r="O25" s="38" t="s">
        <v>63</v>
      </c>
      <c r="P25" s="70">
        <v>1.05</v>
      </c>
      <c r="Q25" s="68">
        <v>0.99</v>
      </c>
      <c r="R25" s="68">
        <v>1.02</v>
      </c>
      <c r="S25" s="68">
        <v>1.1399999999999999</v>
      </c>
      <c r="T25" s="68">
        <v>1.57</v>
      </c>
      <c r="U25" s="68"/>
      <c r="V25" s="68">
        <f>HLOOKUP(P2,P3:U25,23)</f>
        <v>1.02</v>
      </c>
      <c r="W25" s="68"/>
      <c r="X25" s="16"/>
    </row>
    <row r="26" spans="2:24" ht="17.25" x14ac:dyDescent="0.15">
      <c r="B26" s="163" t="s">
        <v>158</v>
      </c>
      <c r="C26" s="164"/>
      <c r="D26" s="51" t="s">
        <v>50</v>
      </c>
      <c r="E26" s="57">
        <v>3.2</v>
      </c>
      <c r="F26" s="46" t="s">
        <v>46</v>
      </c>
      <c r="G26" s="66">
        <f>V30</f>
        <v>219</v>
      </c>
      <c r="H26" s="46" t="s">
        <v>57</v>
      </c>
      <c r="I26" s="71" t="s">
        <v>47</v>
      </c>
      <c r="J26" s="59">
        <v>25.12</v>
      </c>
      <c r="K26" s="59">
        <f>V31</f>
        <v>0.95</v>
      </c>
      <c r="L26" s="65">
        <v>1</v>
      </c>
      <c r="M26" s="61">
        <f>ROUND(L26*K26,2)</f>
        <v>0.95</v>
      </c>
      <c r="N26" s="49"/>
      <c r="O26" s="38" t="s">
        <v>67</v>
      </c>
      <c r="P26" s="43">
        <v>120</v>
      </c>
      <c r="Q26" s="44">
        <v>120</v>
      </c>
      <c r="R26" s="44">
        <v>120</v>
      </c>
      <c r="S26" s="44">
        <v>107</v>
      </c>
      <c r="T26" s="44">
        <v>106</v>
      </c>
      <c r="U26" s="44"/>
      <c r="V26" s="44">
        <f>HLOOKUP(P2,P3:U26,24)</f>
        <v>120</v>
      </c>
      <c r="W26" s="68"/>
      <c r="X26" s="16"/>
    </row>
    <row r="27" spans="2:24" ht="17.25" x14ac:dyDescent="0.15">
      <c r="B27" s="124"/>
      <c r="C27" s="125"/>
      <c r="D27" s="51"/>
      <c r="E27" s="57"/>
      <c r="F27" s="46"/>
      <c r="G27" s="66"/>
      <c r="H27" s="46"/>
      <c r="I27" s="71"/>
      <c r="J27" s="59"/>
      <c r="K27" s="59"/>
      <c r="L27" s="65"/>
      <c r="M27" s="61"/>
      <c r="N27" s="49"/>
      <c r="O27" s="38" t="s">
        <v>67</v>
      </c>
      <c r="P27" s="43">
        <v>153</v>
      </c>
      <c r="Q27" s="44">
        <v>153</v>
      </c>
      <c r="R27" s="44">
        <v>153</v>
      </c>
      <c r="S27" s="44">
        <v>140</v>
      </c>
      <c r="T27" s="44">
        <v>143</v>
      </c>
      <c r="U27" s="44"/>
      <c r="V27" s="44">
        <f>HLOOKUP(P2,P3:U27,25)</f>
        <v>153</v>
      </c>
      <c r="W27" s="68"/>
      <c r="X27" s="16"/>
    </row>
    <row r="28" spans="2:24" ht="17.25" x14ac:dyDescent="0.15">
      <c r="B28" s="163" t="s">
        <v>68</v>
      </c>
      <c r="C28" s="164"/>
      <c r="D28" s="51" t="s">
        <v>50</v>
      </c>
      <c r="E28" s="57">
        <v>4.5</v>
      </c>
      <c r="F28" s="46" t="s">
        <v>46</v>
      </c>
      <c r="G28" s="66">
        <f>V32</f>
        <v>210</v>
      </c>
      <c r="H28" s="46" t="s">
        <v>57</v>
      </c>
      <c r="I28" s="71" t="s">
        <v>1</v>
      </c>
      <c r="J28" s="59">
        <v>35.33</v>
      </c>
      <c r="K28" s="59">
        <f>V33</f>
        <v>1.22</v>
      </c>
      <c r="L28" s="65">
        <v>1</v>
      </c>
      <c r="M28" s="61">
        <f>ROUND(L28*K28,2)</f>
        <v>1.22</v>
      </c>
      <c r="N28" s="49"/>
      <c r="O28" s="38" t="s">
        <v>63</v>
      </c>
      <c r="P28" s="70">
        <v>1.32</v>
      </c>
      <c r="Q28" s="68">
        <v>1.32</v>
      </c>
      <c r="R28" s="68">
        <v>1.32</v>
      </c>
      <c r="S28" s="68">
        <v>1.18</v>
      </c>
      <c r="T28" s="68">
        <v>1.17</v>
      </c>
      <c r="U28" s="68"/>
      <c r="V28" s="126">
        <f>HLOOKUP(P2,P3:U28,26)</f>
        <v>1.32</v>
      </c>
      <c r="W28" s="68"/>
      <c r="X28" s="16"/>
    </row>
    <row r="29" spans="2:24" ht="17.25" x14ac:dyDescent="0.15">
      <c r="B29" s="124"/>
      <c r="C29" s="125"/>
      <c r="D29" s="51"/>
      <c r="E29" s="57"/>
      <c r="F29" s="46"/>
      <c r="G29" s="66"/>
      <c r="H29" s="46"/>
      <c r="I29" s="71"/>
      <c r="J29" s="59"/>
      <c r="K29" s="59"/>
      <c r="L29" s="65"/>
      <c r="M29" s="61"/>
      <c r="N29" s="49"/>
      <c r="O29" s="38" t="s">
        <v>63</v>
      </c>
      <c r="P29" s="70">
        <v>1.66</v>
      </c>
      <c r="Q29" s="68">
        <v>1.66</v>
      </c>
      <c r="R29" s="68">
        <v>1.66</v>
      </c>
      <c r="S29" s="68">
        <v>1.53</v>
      </c>
      <c r="T29" s="68">
        <v>1.56</v>
      </c>
      <c r="U29" s="68"/>
      <c r="V29" s="126">
        <f>HLOOKUP(P2,P3:U29,27)</f>
        <v>1.66</v>
      </c>
      <c r="W29" s="68"/>
      <c r="X29" s="16"/>
    </row>
    <row r="30" spans="2:24" ht="17.25" x14ac:dyDescent="0.15">
      <c r="B30" s="163" t="s">
        <v>159</v>
      </c>
      <c r="C30" s="164"/>
      <c r="D30" s="51" t="s">
        <v>50</v>
      </c>
      <c r="E30" s="57">
        <v>4.5</v>
      </c>
      <c r="F30" s="46" t="s">
        <v>46</v>
      </c>
      <c r="G30" s="66">
        <v>50</v>
      </c>
      <c r="H30" s="46" t="s">
        <v>47</v>
      </c>
      <c r="I30" s="65">
        <v>50</v>
      </c>
      <c r="J30" s="59">
        <v>35.33</v>
      </c>
      <c r="K30" s="59">
        <v>0.09</v>
      </c>
      <c r="L30" s="65">
        <v>2</v>
      </c>
      <c r="M30" s="61">
        <f>ROUND(L30*K30,2)</f>
        <v>0.18</v>
      </c>
      <c r="N30" s="49"/>
      <c r="O30" s="38" t="s">
        <v>70</v>
      </c>
      <c r="P30" s="43">
        <v>219</v>
      </c>
      <c r="Q30" s="44">
        <v>219</v>
      </c>
      <c r="R30" s="44">
        <v>219</v>
      </c>
      <c r="S30" s="44">
        <v>244</v>
      </c>
      <c r="T30" s="44">
        <v>294</v>
      </c>
      <c r="U30" s="44"/>
      <c r="V30" s="44">
        <f>HLOOKUP(P2,P3:U30,28)</f>
        <v>219</v>
      </c>
      <c r="W30" s="68"/>
      <c r="X30" s="16"/>
    </row>
    <row r="31" spans="2:24" ht="17.25" x14ac:dyDescent="0.15">
      <c r="B31" s="163" t="s">
        <v>160</v>
      </c>
      <c r="C31" s="164"/>
      <c r="D31" s="51" t="s">
        <v>50</v>
      </c>
      <c r="E31" s="57">
        <v>3.2</v>
      </c>
      <c r="F31" s="46" t="s">
        <v>46</v>
      </c>
      <c r="G31" s="66">
        <f>V34</f>
        <v>151</v>
      </c>
      <c r="H31" s="46" t="s">
        <v>57</v>
      </c>
      <c r="I31" s="71" t="s">
        <v>47</v>
      </c>
      <c r="J31" s="59">
        <v>25.12</v>
      </c>
      <c r="K31" s="59">
        <f>V35</f>
        <v>0.45</v>
      </c>
      <c r="L31" s="65">
        <v>2</v>
      </c>
      <c r="M31" s="61">
        <f>ROUND(L31*K31,2)</f>
        <v>0.9</v>
      </c>
      <c r="N31" s="49"/>
      <c r="O31" s="38" t="s">
        <v>63</v>
      </c>
      <c r="P31" s="70">
        <v>0.95</v>
      </c>
      <c r="Q31" s="68">
        <v>0.95</v>
      </c>
      <c r="R31" s="68">
        <v>0.95</v>
      </c>
      <c r="S31" s="68">
        <v>1.17</v>
      </c>
      <c r="T31" s="68">
        <v>1.71</v>
      </c>
      <c r="U31" s="68"/>
      <c r="V31" s="126">
        <f>HLOOKUP(P2,P3:U31,29)</f>
        <v>0.95</v>
      </c>
      <c r="W31" s="68"/>
      <c r="X31" s="16"/>
    </row>
    <row r="32" spans="2:24" ht="17.25" x14ac:dyDescent="0.15">
      <c r="B32" s="163" t="s">
        <v>161</v>
      </c>
      <c r="C32" s="164"/>
      <c r="D32" s="51" t="s">
        <v>73</v>
      </c>
      <c r="E32" s="57" t="str">
        <f>V14</f>
        <v xml:space="preserve">  M22</v>
      </c>
      <c r="F32" s="72" t="s">
        <v>220</v>
      </c>
      <c r="G32" s="73"/>
      <c r="H32" s="46"/>
      <c r="I32" s="65">
        <f>V36</f>
        <v>90</v>
      </c>
      <c r="J32" s="74" t="s">
        <v>47</v>
      </c>
      <c r="K32" s="59">
        <f>V37</f>
        <v>0.48</v>
      </c>
      <c r="L32" s="65">
        <v>6</v>
      </c>
      <c r="M32" s="61">
        <f>ROUND(L32*K32,2)</f>
        <v>2.88</v>
      </c>
      <c r="N32" s="49"/>
      <c r="O32" s="38" t="s">
        <v>74</v>
      </c>
      <c r="P32" s="43">
        <v>210</v>
      </c>
      <c r="Q32" s="44">
        <v>210</v>
      </c>
      <c r="R32" s="44">
        <v>210</v>
      </c>
      <c r="S32" s="44">
        <v>240</v>
      </c>
      <c r="T32" s="44">
        <v>290</v>
      </c>
      <c r="U32" s="44"/>
      <c r="V32" s="44">
        <f>HLOOKUP(P2,P3:U32,30)</f>
        <v>210</v>
      </c>
      <c r="W32" s="68"/>
      <c r="X32" s="16"/>
    </row>
    <row r="33" spans="2:27" ht="17.25" x14ac:dyDescent="0.15">
      <c r="B33" s="163" t="s">
        <v>162</v>
      </c>
      <c r="C33" s="164"/>
      <c r="D33" s="51" t="s">
        <v>50</v>
      </c>
      <c r="E33" s="75" t="s">
        <v>76</v>
      </c>
      <c r="F33" s="72" t="s">
        <v>1</v>
      </c>
      <c r="G33" s="76" t="s">
        <v>50</v>
      </c>
      <c r="H33" s="72" t="s">
        <v>1</v>
      </c>
      <c r="I33" s="65">
        <v>65</v>
      </c>
      <c r="J33" s="77"/>
      <c r="K33" s="59">
        <v>0.2</v>
      </c>
      <c r="L33" s="65">
        <v>4</v>
      </c>
      <c r="M33" s="61">
        <f>ROUND(L33*K33,2)</f>
        <v>0.8</v>
      </c>
      <c r="N33" s="49"/>
      <c r="O33" s="38" t="s">
        <v>63</v>
      </c>
      <c r="P33" s="70">
        <v>1.22</v>
      </c>
      <c r="Q33" s="68">
        <v>1.22</v>
      </c>
      <c r="R33" s="68">
        <v>1.22</v>
      </c>
      <c r="S33" s="68">
        <v>1.6</v>
      </c>
      <c r="T33" s="68">
        <v>2.33</v>
      </c>
      <c r="U33" s="68"/>
      <c r="V33" s="126">
        <f>HLOOKUP(P2,P3:U33,31)</f>
        <v>1.22</v>
      </c>
      <c r="W33" s="68"/>
      <c r="X33" s="16"/>
    </row>
    <row r="34" spans="2:27" ht="17.25" x14ac:dyDescent="0.15">
      <c r="B34" s="163" t="s">
        <v>163</v>
      </c>
      <c r="C34" s="164"/>
      <c r="D34" s="51" t="s">
        <v>78</v>
      </c>
      <c r="E34" s="75" t="s">
        <v>79</v>
      </c>
      <c r="F34" s="18"/>
      <c r="G34" s="78"/>
      <c r="H34" s="18"/>
      <c r="I34" s="65">
        <v>25</v>
      </c>
      <c r="J34" s="77"/>
      <c r="K34" s="59">
        <v>0.01</v>
      </c>
      <c r="L34" s="65">
        <v>2</v>
      </c>
      <c r="M34" s="61">
        <f>ROUND(L34*K34,2)</f>
        <v>0.02</v>
      </c>
      <c r="N34" s="49"/>
      <c r="O34" s="38" t="s">
        <v>80</v>
      </c>
      <c r="P34" s="43">
        <v>117</v>
      </c>
      <c r="Q34" s="44">
        <v>128</v>
      </c>
      <c r="R34" s="44">
        <v>151</v>
      </c>
      <c r="S34" s="44">
        <v>175</v>
      </c>
      <c r="T34" s="44">
        <v>199</v>
      </c>
      <c r="U34" s="44"/>
      <c r="V34" s="44">
        <f>HLOOKUP(P2,P3:U34,32)</f>
        <v>151</v>
      </c>
      <c r="W34" s="68"/>
      <c r="X34" s="16"/>
    </row>
    <row r="35" spans="2:27" ht="17.25" x14ac:dyDescent="0.15">
      <c r="B35" s="45"/>
      <c r="C35" s="20"/>
      <c r="D35" s="79"/>
      <c r="E35" s="65"/>
      <c r="F35" s="20"/>
      <c r="G35" s="66"/>
      <c r="H35" s="20"/>
      <c r="I35" s="65"/>
      <c r="J35" s="59"/>
      <c r="K35" s="59"/>
      <c r="L35" s="71" t="s">
        <v>1</v>
      </c>
      <c r="M35" s="80" t="s">
        <v>1</v>
      </c>
      <c r="N35" s="49"/>
      <c r="O35" s="38" t="s">
        <v>63</v>
      </c>
      <c r="P35" s="70">
        <v>0.27</v>
      </c>
      <c r="Q35" s="68">
        <v>0.32</v>
      </c>
      <c r="R35" s="68">
        <v>0.45</v>
      </c>
      <c r="S35" s="68">
        <v>0.6</v>
      </c>
      <c r="T35" s="68">
        <v>0.78</v>
      </c>
      <c r="U35" s="68"/>
      <c r="V35" s="126">
        <f>HLOOKUP(P2,P3:U35,33)</f>
        <v>0.45</v>
      </c>
      <c r="W35" s="8"/>
      <c r="X35" s="16"/>
    </row>
    <row r="36" spans="2:27" ht="17.25" x14ac:dyDescent="0.15">
      <c r="B36" s="81"/>
      <c r="C36" s="18"/>
      <c r="D36" s="82"/>
      <c r="E36" s="81"/>
      <c r="F36" s="18"/>
      <c r="G36" s="18"/>
      <c r="H36" s="18"/>
      <c r="I36" s="83"/>
      <c r="J36" s="77"/>
      <c r="K36" s="77"/>
      <c r="L36" s="83"/>
      <c r="M36" s="84"/>
      <c r="N36" s="49"/>
      <c r="O36" s="38" t="s">
        <v>39</v>
      </c>
      <c r="P36" s="43">
        <v>70</v>
      </c>
      <c r="Q36" s="44">
        <v>70</v>
      </c>
      <c r="R36" s="44">
        <v>90</v>
      </c>
      <c r="S36" s="44">
        <v>100</v>
      </c>
      <c r="T36" s="44">
        <v>100</v>
      </c>
      <c r="U36" s="44"/>
      <c r="V36" s="44">
        <f>HLOOKUP(P2,P3:U36,34)</f>
        <v>90</v>
      </c>
      <c r="W36" s="8"/>
      <c r="X36" s="16"/>
    </row>
    <row r="37" spans="2:27" ht="17.25" x14ac:dyDescent="0.15">
      <c r="B37" s="81"/>
      <c r="C37" s="18"/>
      <c r="D37" s="82">
        <v>1</v>
      </c>
      <c r="E37" s="85"/>
      <c r="F37" s="18"/>
      <c r="G37" s="86"/>
      <c r="H37" s="18"/>
      <c r="I37" s="81"/>
      <c r="J37" s="77"/>
      <c r="K37" s="77"/>
      <c r="L37" s="83"/>
      <c r="M37" s="87"/>
      <c r="N37" s="49"/>
      <c r="O37" s="38" t="s">
        <v>63</v>
      </c>
      <c r="P37" s="70">
        <v>0.21</v>
      </c>
      <c r="Q37" s="68">
        <v>0.21</v>
      </c>
      <c r="R37" s="68">
        <v>0.48</v>
      </c>
      <c r="S37" s="68">
        <v>0.51</v>
      </c>
      <c r="T37" s="68">
        <v>0.51</v>
      </c>
      <c r="U37" s="8"/>
      <c r="V37" s="68">
        <f>HLOOKUP(P2,P3:U37,35)</f>
        <v>0.48</v>
      </c>
      <c r="W37" s="8"/>
      <c r="X37" s="16"/>
    </row>
    <row r="38" spans="2:27" ht="17.25" x14ac:dyDescent="0.2">
      <c r="B38" s="81"/>
      <c r="C38" s="18"/>
      <c r="D38" s="82"/>
      <c r="E38" s="85"/>
      <c r="F38" s="18"/>
      <c r="G38" s="86"/>
      <c r="H38" s="18"/>
      <c r="I38" s="83"/>
      <c r="J38" s="77"/>
      <c r="K38" s="77"/>
      <c r="L38" s="83"/>
      <c r="M38" s="61">
        <f>SUM(M15:M37)</f>
        <v>266.60999999999996</v>
      </c>
      <c r="N38" s="49"/>
      <c r="P38" s="8"/>
      <c r="Q38" s="8"/>
      <c r="R38" s="8"/>
      <c r="S38" s="8"/>
      <c r="T38" s="88"/>
      <c r="U38" s="8"/>
      <c r="V38" s="9" t="s">
        <v>1</v>
      </c>
      <c r="W38" s="8"/>
      <c r="X38" s="89"/>
      <c r="Y38" s="90"/>
      <c r="Z38" s="90"/>
      <c r="AA38" s="89"/>
    </row>
    <row r="39" spans="2:27" ht="17.25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O39" s="38" t="s">
        <v>23</v>
      </c>
      <c r="P39" s="53" t="s">
        <v>82</v>
      </c>
      <c r="Q39" s="54" t="s">
        <v>164</v>
      </c>
      <c r="R39" s="54" t="s">
        <v>165</v>
      </c>
      <c r="S39" s="54" t="s">
        <v>83</v>
      </c>
      <c r="T39" s="54" t="s">
        <v>83</v>
      </c>
      <c r="U39" s="8"/>
      <c r="V39" s="55" t="str">
        <f>HLOOKUP(P2,P3:U39,37)</f>
        <v>　M22</v>
      </c>
      <c r="W39" s="8"/>
      <c r="X39" s="91"/>
      <c r="Y39" s="92"/>
      <c r="Z39" s="92"/>
      <c r="AA39" s="93"/>
    </row>
    <row r="40" spans="2:27" ht="17.25" x14ac:dyDescent="0.2">
      <c r="B40" s="36"/>
      <c r="D40" s="94"/>
      <c r="E40" s="95"/>
      <c r="F40" s="36"/>
      <c r="G40" s="96"/>
      <c r="H40" s="36"/>
      <c r="I40" s="97"/>
      <c r="J40" s="98"/>
      <c r="K40" s="98"/>
      <c r="L40" s="97"/>
      <c r="M40" s="98"/>
      <c r="O40" s="38" t="s">
        <v>86</v>
      </c>
      <c r="P40" s="99">
        <v>700</v>
      </c>
      <c r="Q40" s="130">
        <v>700</v>
      </c>
      <c r="R40" s="55">
        <v>700</v>
      </c>
      <c r="S40" s="55">
        <v>850</v>
      </c>
      <c r="T40" s="55">
        <v>850</v>
      </c>
      <c r="U40" s="8"/>
      <c r="V40" s="44">
        <f>HLOOKUP(P2,P3:U40,38)</f>
        <v>700</v>
      </c>
      <c r="W40" s="8"/>
      <c r="X40" s="91"/>
      <c r="Y40" s="92"/>
      <c r="Z40" s="92"/>
      <c r="AA40" s="93"/>
    </row>
    <row r="41" spans="2:27" ht="17.25" x14ac:dyDescent="0.15">
      <c r="B41" s="36"/>
      <c r="C41" s="36"/>
      <c r="D41" s="36"/>
      <c r="E41" s="96"/>
      <c r="F41" s="36"/>
      <c r="G41" s="96"/>
      <c r="H41" s="36"/>
      <c r="I41" s="97"/>
      <c r="J41" s="98"/>
      <c r="K41" s="98"/>
      <c r="L41" s="97"/>
      <c r="M41" s="98"/>
      <c r="O41" s="38" t="s">
        <v>87</v>
      </c>
      <c r="P41" s="70">
        <v>2.09</v>
      </c>
      <c r="Q41" s="68">
        <v>2.09</v>
      </c>
      <c r="R41" s="68">
        <v>2.09</v>
      </c>
      <c r="S41" s="68">
        <v>3.82</v>
      </c>
      <c r="T41" s="68">
        <v>3.82</v>
      </c>
      <c r="U41" s="68"/>
      <c r="V41" s="44">
        <f>HLOOKUP(P2,P3:U41,39)</f>
        <v>2.09</v>
      </c>
      <c r="W41" s="68"/>
      <c r="X41" s="100"/>
      <c r="Y41" s="92"/>
      <c r="Z41" s="92"/>
      <c r="AA41" s="93"/>
    </row>
    <row r="42" spans="2:27" ht="17.25" customHeight="1" x14ac:dyDescent="0.15">
      <c r="B42" s="18"/>
      <c r="C42" s="18"/>
      <c r="D42" s="46" t="s">
        <v>88</v>
      </c>
      <c r="E42" s="21"/>
      <c r="F42" s="20"/>
      <c r="G42" s="21"/>
      <c r="H42" s="20"/>
      <c r="I42" s="66" t="str">
        <f>V47</f>
        <v>(4-M22×700)</v>
      </c>
      <c r="J42" s="101"/>
      <c r="K42" s="102"/>
      <c r="L42" s="78"/>
      <c r="M42" s="103" t="s">
        <v>1</v>
      </c>
      <c r="O42" s="38" t="s">
        <v>89</v>
      </c>
      <c r="P42" s="99">
        <v>415</v>
      </c>
      <c r="Q42" s="55">
        <v>415</v>
      </c>
      <c r="R42" s="55">
        <v>415</v>
      </c>
      <c r="S42" s="55">
        <v>415</v>
      </c>
      <c r="T42" s="55">
        <v>465</v>
      </c>
      <c r="U42" s="8"/>
      <c r="V42" s="44">
        <f>HLOOKUP(P2,P3:U42,40)</f>
        <v>415</v>
      </c>
      <c r="W42" s="8"/>
      <c r="X42" s="100"/>
      <c r="Y42" s="92"/>
      <c r="Z42" s="92"/>
      <c r="AA42" s="93"/>
    </row>
    <row r="43" spans="2:27" ht="17.25" customHeight="1" x14ac:dyDescent="0.15">
      <c r="B43" s="165" t="s">
        <v>166</v>
      </c>
      <c r="C43" s="166"/>
      <c r="D43" s="164"/>
      <c r="E43" s="65"/>
      <c r="F43" s="46" t="s">
        <v>91</v>
      </c>
      <c r="G43" s="66"/>
      <c r="H43" s="20"/>
      <c r="I43" s="66"/>
      <c r="J43" s="74" t="s">
        <v>92</v>
      </c>
      <c r="K43" s="101"/>
      <c r="L43" s="71" t="s">
        <v>93</v>
      </c>
      <c r="M43" s="104" t="s">
        <v>94</v>
      </c>
      <c r="N43" s="49"/>
      <c r="O43" s="38" t="s">
        <v>87</v>
      </c>
      <c r="P43" s="70">
        <v>1.27</v>
      </c>
      <c r="Q43" s="68">
        <v>1.27</v>
      </c>
      <c r="R43" s="68">
        <v>1.27</v>
      </c>
      <c r="S43" s="68">
        <v>1.27</v>
      </c>
      <c r="T43" s="68">
        <v>1.42</v>
      </c>
      <c r="U43" s="8"/>
      <c r="V43" s="68">
        <f>HLOOKUP(P2,P3:U43,41)</f>
        <v>1.27</v>
      </c>
      <c r="W43" s="8"/>
      <c r="X43" s="100"/>
      <c r="Y43" s="92"/>
      <c r="Z43" s="92"/>
      <c r="AA43" s="93"/>
    </row>
    <row r="44" spans="2:27" ht="17.25" customHeight="1" x14ac:dyDescent="0.15">
      <c r="B44" s="165" t="s">
        <v>167</v>
      </c>
      <c r="C44" s="166"/>
      <c r="D44" s="164"/>
      <c r="E44" s="65" t="str">
        <f>V39</f>
        <v>　M22</v>
      </c>
      <c r="F44" s="46" t="s">
        <v>46</v>
      </c>
      <c r="G44" s="66">
        <f>V40</f>
        <v>700</v>
      </c>
      <c r="H44" s="20"/>
      <c r="I44" s="66"/>
      <c r="J44" s="59">
        <f>V41</f>
        <v>2.09</v>
      </c>
      <c r="K44" s="103" t="s">
        <v>95</v>
      </c>
      <c r="L44" s="65">
        <v>4</v>
      </c>
      <c r="M44" s="61">
        <f t="shared" ref="M44:M49" si="1">ROUND(J44*L44,2)</f>
        <v>8.36</v>
      </c>
      <c r="N44" s="49"/>
      <c r="O44" s="38" t="s">
        <v>96</v>
      </c>
      <c r="P44" s="53" t="s">
        <v>97</v>
      </c>
      <c r="Q44" s="54" t="s">
        <v>97</v>
      </c>
      <c r="R44" s="54" t="s">
        <v>97</v>
      </c>
      <c r="S44" s="54" t="s">
        <v>83</v>
      </c>
      <c r="T44" s="54" t="s">
        <v>83</v>
      </c>
      <c r="U44" s="8"/>
      <c r="V44" s="44" t="str">
        <f>HLOOKUP(P2,P3:U44,42)</f>
        <v>M22</v>
      </c>
      <c r="W44" s="8"/>
      <c r="X44" s="100"/>
      <c r="Y44" s="92"/>
      <c r="Z44" s="92"/>
      <c r="AA44" s="93"/>
    </row>
    <row r="45" spans="2:27" ht="17.25" customHeight="1" x14ac:dyDescent="0.15">
      <c r="B45" s="165" t="s">
        <v>168</v>
      </c>
      <c r="C45" s="166"/>
      <c r="D45" s="164"/>
      <c r="E45" s="65">
        <v>65</v>
      </c>
      <c r="F45" s="46" t="s">
        <v>46</v>
      </c>
      <c r="G45" s="66">
        <v>6</v>
      </c>
      <c r="H45" s="46" t="s">
        <v>46</v>
      </c>
      <c r="I45" s="66">
        <f>V42</f>
        <v>415</v>
      </c>
      <c r="J45" s="59">
        <f>V43</f>
        <v>1.27</v>
      </c>
      <c r="K45" s="103" t="s">
        <v>102</v>
      </c>
      <c r="L45" s="65">
        <v>8</v>
      </c>
      <c r="M45" s="61">
        <f t="shared" si="1"/>
        <v>10.16</v>
      </c>
      <c r="N45" s="49"/>
      <c r="O45" s="38" t="s">
        <v>87</v>
      </c>
      <c r="P45" s="105">
        <v>7.5999999999999998E-2</v>
      </c>
      <c r="Q45" s="50">
        <v>7.5999999999999998E-2</v>
      </c>
      <c r="R45" s="50">
        <v>7.5999999999999998E-2</v>
      </c>
      <c r="S45" s="50">
        <v>0.161</v>
      </c>
      <c r="T45" s="50">
        <v>0.161</v>
      </c>
      <c r="U45" s="50"/>
      <c r="V45" s="50">
        <f>HLOOKUP(P2,P3:U45,43)</f>
        <v>7.5999999999999998E-2</v>
      </c>
      <c r="W45" s="50"/>
      <c r="X45" s="16"/>
      <c r="Y45" s="92"/>
      <c r="Z45" s="92"/>
      <c r="AA45" s="93"/>
    </row>
    <row r="46" spans="2:27" ht="17.25" customHeight="1" x14ac:dyDescent="0.15">
      <c r="B46" s="165" t="s">
        <v>169</v>
      </c>
      <c r="C46" s="166"/>
      <c r="D46" s="164"/>
      <c r="E46" s="71" t="s">
        <v>104</v>
      </c>
      <c r="F46" s="46"/>
      <c r="G46" s="66"/>
      <c r="H46" s="47" t="str">
        <f>V44</f>
        <v>M22</v>
      </c>
      <c r="I46" s="66"/>
      <c r="J46" s="106">
        <f>V45</f>
        <v>7.5999999999999998E-2</v>
      </c>
      <c r="K46" s="103" t="s">
        <v>105</v>
      </c>
      <c r="L46" s="65">
        <v>8</v>
      </c>
      <c r="M46" s="61">
        <f t="shared" si="1"/>
        <v>0.61</v>
      </c>
      <c r="N46" s="49"/>
      <c r="O46" s="38" t="s">
        <v>106</v>
      </c>
      <c r="P46" s="105">
        <v>2.7E-2</v>
      </c>
      <c r="Q46" s="50">
        <v>2.7E-2</v>
      </c>
      <c r="R46" s="50">
        <v>2.7E-2</v>
      </c>
      <c r="S46" s="50">
        <v>4.7E-2</v>
      </c>
      <c r="T46" s="50">
        <v>4.7E-2</v>
      </c>
      <c r="U46" s="50"/>
      <c r="V46" s="50">
        <f>HLOOKUP(P2,P3:U46,44)</f>
        <v>2.7E-2</v>
      </c>
      <c r="W46" s="50"/>
      <c r="X46" s="16"/>
      <c r="Y46" s="92"/>
      <c r="Z46" s="92"/>
      <c r="AA46" s="93"/>
    </row>
    <row r="47" spans="2:27" ht="17.25" customHeight="1" x14ac:dyDescent="0.2">
      <c r="B47" s="165" t="s">
        <v>215</v>
      </c>
      <c r="C47" s="166"/>
      <c r="D47" s="164"/>
      <c r="E47" s="71" t="s">
        <v>104</v>
      </c>
      <c r="F47" s="148"/>
      <c r="G47" s="148"/>
      <c r="H47" s="66" t="str">
        <f>V44</f>
        <v>M22</v>
      </c>
      <c r="I47" s="111"/>
      <c r="J47" s="152">
        <f>V48</f>
        <v>7.3999999999999996E-2</v>
      </c>
      <c r="K47" s="103" t="s">
        <v>105</v>
      </c>
      <c r="L47" s="65">
        <v>4</v>
      </c>
      <c r="M47" s="61">
        <f t="shared" si="1"/>
        <v>0.3</v>
      </c>
      <c r="N47" s="49"/>
      <c r="P47" s="107" t="s">
        <v>175</v>
      </c>
      <c r="Q47" s="108" t="s">
        <v>174</v>
      </c>
      <c r="R47" s="108" t="s">
        <v>174</v>
      </c>
      <c r="S47" s="108" t="s">
        <v>176</v>
      </c>
      <c r="T47" s="108" t="s">
        <v>177</v>
      </c>
      <c r="U47" s="8"/>
      <c r="V47" s="55" t="str">
        <f>HLOOKUP(P2,P3:U47,45)</f>
        <v>(4-M22×700)</v>
      </c>
      <c r="W47" s="8"/>
      <c r="X47" s="16"/>
    </row>
    <row r="48" spans="2:27" ht="17.25" customHeight="1" x14ac:dyDescent="0.15">
      <c r="B48" s="163" t="s">
        <v>216</v>
      </c>
      <c r="C48" s="166"/>
      <c r="D48" s="164"/>
      <c r="E48" s="65" t="str">
        <f>V39</f>
        <v>　M22</v>
      </c>
      <c r="F48" s="20"/>
      <c r="G48" s="66"/>
      <c r="H48" s="20"/>
      <c r="I48" s="66"/>
      <c r="J48" s="106">
        <f>V46</f>
        <v>2.7E-2</v>
      </c>
      <c r="K48" s="103" t="s">
        <v>102</v>
      </c>
      <c r="L48" s="65">
        <v>4</v>
      </c>
      <c r="M48" s="61">
        <f t="shared" si="1"/>
        <v>0.11</v>
      </c>
      <c r="N48" s="49"/>
      <c r="O48" s="151" t="s">
        <v>218</v>
      </c>
      <c r="P48" s="151">
        <v>7.3999999999999996E-2</v>
      </c>
      <c r="Q48" s="151">
        <v>7.3999999999999996E-2</v>
      </c>
      <c r="R48" s="151">
        <v>7.3999999999999996E-2</v>
      </c>
      <c r="S48" s="151">
        <v>0.159</v>
      </c>
      <c r="T48" s="151">
        <v>0.159</v>
      </c>
      <c r="U48" s="151"/>
      <c r="V48" s="50">
        <f>HLOOKUP(P2,P3:U48,46)</f>
        <v>7.3999999999999996E-2</v>
      </c>
      <c r="W48" s="151"/>
    </row>
    <row r="49" spans="2:25" ht="17.25" customHeight="1" x14ac:dyDescent="0.2">
      <c r="B49" s="163" t="s">
        <v>217</v>
      </c>
      <c r="C49" s="166"/>
      <c r="D49" s="164"/>
      <c r="E49" s="65" t="str">
        <f>V39</f>
        <v>　M22</v>
      </c>
      <c r="F49" s="148"/>
      <c r="G49" s="148"/>
      <c r="H49" s="148"/>
      <c r="I49" s="111"/>
      <c r="J49" s="152">
        <f>V49</f>
        <v>1.9E-2</v>
      </c>
      <c r="K49" s="103" t="s">
        <v>102</v>
      </c>
      <c r="L49" s="65">
        <v>4</v>
      </c>
      <c r="M49" s="61">
        <f t="shared" si="1"/>
        <v>0.08</v>
      </c>
      <c r="O49" s="151" t="s">
        <v>219</v>
      </c>
      <c r="P49" s="151">
        <v>1.9E-2</v>
      </c>
      <c r="Q49" s="151">
        <v>1.9E-2</v>
      </c>
      <c r="R49" s="151">
        <v>1.9E-2</v>
      </c>
      <c r="S49" s="151">
        <v>4.4999999999999998E-2</v>
      </c>
      <c r="T49" s="151">
        <v>4.4999999999999998E-2</v>
      </c>
      <c r="U49" s="151"/>
      <c r="V49" s="50">
        <f>HLOOKUP(P2,P3:U49,47)</f>
        <v>1.9E-2</v>
      </c>
      <c r="W49" s="151"/>
    </row>
    <row r="50" spans="2:25" ht="17.25" customHeight="1" x14ac:dyDescent="0.2">
      <c r="B50" s="45"/>
      <c r="C50" s="20"/>
      <c r="D50" s="20"/>
      <c r="E50" s="66"/>
      <c r="F50" s="20"/>
      <c r="G50" s="66"/>
      <c r="H50" s="20"/>
      <c r="I50" s="66"/>
      <c r="J50" s="101"/>
      <c r="K50" s="101"/>
      <c r="L50" s="66"/>
      <c r="M50" s="61">
        <f>SUM(M44:M49)</f>
        <v>19.619999999999997</v>
      </c>
      <c r="T50" s="30"/>
    </row>
    <row r="51" spans="2:25" ht="17.25" customHeight="1" x14ac:dyDescent="0.15">
      <c r="T51" s="92"/>
    </row>
    <row r="52" spans="2:25" ht="17.25" customHeight="1" x14ac:dyDescent="0.15">
      <c r="C52" s="109" t="s">
        <v>170</v>
      </c>
      <c r="D52" s="110" t="s">
        <v>171</v>
      </c>
      <c r="E52" s="167" t="s">
        <v>114</v>
      </c>
      <c r="F52" s="168"/>
      <c r="G52" s="168"/>
      <c r="H52" s="169"/>
      <c r="I52" s="111" t="s">
        <v>115</v>
      </c>
      <c r="J52" s="170" t="s">
        <v>172</v>
      </c>
      <c r="K52" s="171"/>
      <c r="R52" s="38" t="s">
        <v>117</v>
      </c>
      <c r="S52" s="8"/>
      <c r="T52" s="8"/>
      <c r="U52" s="8"/>
      <c r="V52" s="8"/>
    </row>
    <row r="53" spans="2:25" ht="17.25" customHeight="1" x14ac:dyDescent="0.15">
      <c r="C53" s="112">
        <f>E15</f>
        <v>190.7</v>
      </c>
      <c r="D53" s="113" t="str">
        <f>HLOOKUP(E16,P76:T78,2)</f>
        <v>M22*700</v>
      </c>
      <c r="E53" s="161" t="str">
        <f>HLOOKUP(E16,P76:T78,3)</f>
        <v>0.8*0.8*2.1</v>
      </c>
      <c r="F53" s="162"/>
      <c r="G53" s="162"/>
      <c r="H53" s="111"/>
      <c r="I53" s="146">
        <f>ROUND(IF(D4="","",D4/0.3+1+0.49),0)*4</f>
        <v>20</v>
      </c>
      <c r="J53" s="147">
        <f>D4-0.02</f>
        <v>0.98</v>
      </c>
      <c r="K53" s="111" t="s">
        <v>214</v>
      </c>
      <c r="S53" s="114" t="s">
        <v>118</v>
      </c>
      <c r="T53" s="8"/>
      <c r="U53" s="114" t="s">
        <v>119</v>
      </c>
      <c r="V53" s="8"/>
      <c r="W53" s="16"/>
    </row>
    <row r="54" spans="2:25" ht="17.25" customHeight="1" x14ac:dyDescent="0.15">
      <c r="S54" s="114" t="s">
        <v>120</v>
      </c>
      <c r="T54" s="8"/>
      <c r="U54" s="99">
        <f>V32</f>
        <v>210</v>
      </c>
      <c r="V54" s="9" t="s">
        <v>121</v>
      </c>
      <c r="W54" s="16"/>
    </row>
    <row r="55" spans="2:25" ht="17.25" customHeight="1" x14ac:dyDescent="0.15">
      <c r="E55" s="160" t="s">
        <v>186</v>
      </c>
      <c r="F55" s="160"/>
      <c r="G55" s="160"/>
      <c r="H55" s="160"/>
      <c r="I55" s="160" t="s">
        <v>192</v>
      </c>
      <c r="J55" s="160"/>
      <c r="K55" s="160"/>
      <c r="S55" s="114" t="s">
        <v>122</v>
      </c>
      <c r="T55" s="8"/>
      <c r="U55" s="99">
        <f>IF(X55&gt;10,X55,Y55)</f>
        <v>15</v>
      </c>
      <c r="V55" s="9" t="s">
        <v>123</v>
      </c>
      <c r="W55" s="16"/>
      <c r="X55" s="2">
        <f>ROUND(0.02466*V7*(V6-V7),1)</f>
        <v>15</v>
      </c>
      <c r="Y55" s="92">
        <f>ROUND(0.02466*V7*(V6-V7),2)</f>
        <v>15.01</v>
      </c>
    </row>
    <row r="56" spans="2:25" ht="17.25" customHeight="1" x14ac:dyDescent="0.15">
      <c r="E56" s="160"/>
      <c r="F56" s="160"/>
      <c r="G56" s="160"/>
      <c r="H56" s="160"/>
      <c r="I56" s="138" t="s">
        <v>193</v>
      </c>
      <c r="J56" s="138" t="s">
        <v>194</v>
      </c>
      <c r="K56" s="138" t="s">
        <v>195</v>
      </c>
      <c r="S56" s="114" t="s">
        <v>124</v>
      </c>
      <c r="T56" s="8"/>
      <c r="U56" s="99">
        <f>IF(X56&gt;10,X56,Y56)</f>
        <v>0.28999999999999998</v>
      </c>
      <c r="V56" s="9" t="s">
        <v>123</v>
      </c>
      <c r="W56" s="16"/>
      <c r="X56" s="2">
        <f>ROUND(0.02466*V9*(V8-V9),1)</f>
        <v>0.3</v>
      </c>
      <c r="Y56" s="92">
        <f>ROUND(0.02466*V9*(V8-V9),2)</f>
        <v>0.28999999999999998</v>
      </c>
    </row>
    <row r="57" spans="2:25" ht="17.25" customHeight="1" x14ac:dyDescent="0.15">
      <c r="E57" s="172" t="str">
        <f>HLOOKUP(E16,P76:T79,4)</f>
        <v>0.8*2.4*1.0</v>
      </c>
      <c r="F57" s="172"/>
      <c r="G57" s="172"/>
      <c r="H57" s="172"/>
      <c r="I57" s="138" t="str">
        <f>HLOOKUP(E16,P76:T82,5)</f>
        <v>-</v>
      </c>
      <c r="J57" s="138" t="str">
        <f>HLOOKUP(E16,P76:T82,6)</f>
        <v>-</v>
      </c>
      <c r="K57" s="138" t="str">
        <f>HLOOKUP(E16,P76:T82,7)</f>
        <v>-</v>
      </c>
      <c r="S57" s="114" t="s">
        <v>125</v>
      </c>
      <c r="T57" s="8"/>
      <c r="U57" s="99">
        <f>IF(X57&gt;10,X57,Y57)</f>
        <v>24.2</v>
      </c>
      <c r="V57" s="9" t="s">
        <v>123</v>
      </c>
      <c r="W57" s="16"/>
      <c r="X57" s="2">
        <f>ROUND(0.02466*V5*(V4-V5),1)</f>
        <v>24.2</v>
      </c>
      <c r="Y57" s="92">
        <f>ROUND(0.02466*V5*(V4-V5),2)</f>
        <v>24.23</v>
      </c>
    </row>
    <row r="58" spans="2:25" ht="17.25" customHeight="1" x14ac:dyDescent="0.15">
      <c r="S58" s="114" t="s">
        <v>1</v>
      </c>
      <c r="T58" s="8"/>
      <c r="U58" s="115" t="s">
        <v>1</v>
      </c>
      <c r="V58" s="9" t="s">
        <v>1</v>
      </c>
      <c r="W58" s="16"/>
    </row>
    <row r="59" spans="2:25" ht="17.25" customHeight="1" x14ac:dyDescent="0.15">
      <c r="S59" s="114" t="s">
        <v>47</v>
      </c>
      <c r="T59" s="8"/>
      <c r="U59" s="114" t="s">
        <v>1</v>
      </c>
      <c r="V59" s="9" t="s">
        <v>1</v>
      </c>
      <c r="W59" s="16"/>
    </row>
    <row r="60" spans="2:25" ht="17.25" customHeight="1" x14ac:dyDescent="0.15"/>
    <row r="61" spans="2:25" ht="17.25" customHeight="1" x14ac:dyDescent="0.15"/>
    <row r="62" spans="2:25" x14ac:dyDescent="0.15">
      <c r="P62" s="24">
        <v>101.6</v>
      </c>
      <c r="Q62" s="7">
        <v>114.3</v>
      </c>
      <c r="R62" s="7">
        <v>139.80000000000001</v>
      </c>
      <c r="S62" s="7">
        <v>165.2</v>
      </c>
      <c r="T62" s="7">
        <v>190.7</v>
      </c>
      <c r="U62" s="49"/>
      <c r="V62" s="127"/>
      <c r="W62" s="128" t="s">
        <v>6</v>
      </c>
    </row>
    <row r="63" spans="2:25" x14ac:dyDescent="0.15">
      <c r="O63" s="1" t="s">
        <v>126</v>
      </c>
      <c r="P63" s="1">
        <f>5000+(I5+D4/2)*1000+200+I6*1000</f>
        <v>6000</v>
      </c>
      <c r="Q63" s="1">
        <f>5000+(I5+D4/2)*1000+200+I6*1000</f>
        <v>6000</v>
      </c>
      <c r="R63" s="1">
        <f>5000+(I5+D4/2)*1000+200+I6*1000</f>
        <v>6000</v>
      </c>
      <c r="S63" s="1">
        <f>5000+(I5+D4/2)*1000+250+I6*1000</f>
        <v>6050</v>
      </c>
      <c r="T63" s="1">
        <f>5000+(I5+D4/2)*1000+250+I6*1000</f>
        <v>6050</v>
      </c>
    </row>
    <row r="65" spans="15:20" x14ac:dyDescent="0.15">
      <c r="P65" s="24">
        <v>101.6</v>
      </c>
      <c r="Q65" s="7">
        <v>114.3</v>
      </c>
      <c r="R65" s="7">
        <v>139.80000000000001</v>
      </c>
      <c r="S65" s="7">
        <v>165.2</v>
      </c>
      <c r="T65" s="7">
        <v>190.7</v>
      </c>
    </row>
    <row r="66" spans="15:20" x14ac:dyDescent="0.15">
      <c r="O66" s="1" t="s">
        <v>127</v>
      </c>
      <c r="P66" s="1">
        <f>D5*1000+1000-150+190</f>
        <v>3040</v>
      </c>
      <c r="Q66" s="1">
        <f>D5*1000+1000-150+190</f>
        <v>3040</v>
      </c>
      <c r="R66" s="1">
        <f>D5*1000+1000-150+190</f>
        <v>3040</v>
      </c>
      <c r="S66" s="1">
        <f>D5*1000+1000-150+220</f>
        <v>3070</v>
      </c>
      <c r="T66" s="1">
        <f>D5*1000+1000-150+260</f>
        <v>3110</v>
      </c>
    </row>
    <row r="68" spans="15:20" x14ac:dyDescent="0.15">
      <c r="P68" s="24">
        <v>101.6</v>
      </c>
      <c r="Q68" s="7">
        <v>114.3</v>
      </c>
      <c r="R68" s="7">
        <v>139.80000000000001</v>
      </c>
      <c r="S68" s="7">
        <v>165.2</v>
      </c>
      <c r="T68" s="7">
        <v>190.7</v>
      </c>
    </row>
    <row r="69" spans="15:20" x14ac:dyDescent="0.15">
      <c r="O69" s="1" t="s">
        <v>128</v>
      </c>
      <c r="P69" s="1">
        <v>83</v>
      </c>
      <c r="Q69" s="1">
        <v>74</v>
      </c>
      <c r="R69" s="1">
        <v>87</v>
      </c>
      <c r="S69" s="1">
        <v>95</v>
      </c>
      <c r="T69" s="1">
        <v>95</v>
      </c>
    </row>
    <row r="71" spans="15:20" x14ac:dyDescent="0.15">
      <c r="P71" s="24">
        <v>101.6</v>
      </c>
      <c r="Q71" s="7">
        <v>114.3</v>
      </c>
      <c r="R71" s="7">
        <v>139.80000000000001</v>
      </c>
      <c r="S71" s="7">
        <v>165.2</v>
      </c>
      <c r="T71" s="7">
        <v>190.7</v>
      </c>
    </row>
    <row r="72" spans="15:20" x14ac:dyDescent="0.15">
      <c r="O72" s="1" t="s">
        <v>129</v>
      </c>
      <c r="P72" s="119">
        <v>18</v>
      </c>
      <c r="Q72" s="1">
        <v>18</v>
      </c>
      <c r="R72" s="1">
        <v>19</v>
      </c>
      <c r="S72" s="1">
        <v>26</v>
      </c>
      <c r="T72" s="119">
        <v>27</v>
      </c>
    </row>
    <row r="74" spans="15:20" x14ac:dyDescent="0.15">
      <c r="O74" s="1" t="s">
        <v>130</v>
      </c>
      <c r="P74" s="24">
        <v>101.6</v>
      </c>
      <c r="Q74" s="7">
        <v>114.3</v>
      </c>
      <c r="R74" s="7">
        <v>139.80000000000001</v>
      </c>
      <c r="S74" s="7">
        <v>165.2</v>
      </c>
      <c r="T74" s="7">
        <v>190.7</v>
      </c>
    </row>
    <row r="75" spans="15:20" x14ac:dyDescent="0.15">
      <c r="P75" s="119">
        <v>24.43</v>
      </c>
      <c r="Q75" s="1">
        <v>24.32</v>
      </c>
      <c r="R75" s="1">
        <v>29.7</v>
      </c>
      <c r="S75" s="1">
        <v>46.54</v>
      </c>
      <c r="T75" s="119">
        <v>49.52</v>
      </c>
    </row>
    <row r="76" spans="15:20" x14ac:dyDescent="0.15">
      <c r="P76" s="24">
        <v>101.6</v>
      </c>
      <c r="Q76" s="7">
        <v>114.3</v>
      </c>
      <c r="R76" s="7">
        <v>139.80000000000001</v>
      </c>
      <c r="S76" s="7">
        <v>165.2</v>
      </c>
      <c r="T76" s="7">
        <v>190.7</v>
      </c>
    </row>
    <row r="77" spans="15:20" x14ac:dyDescent="0.15">
      <c r="P77" s="1" t="s">
        <v>131</v>
      </c>
      <c r="Q77" s="1" t="s">
        <v>131</v>
      </c>
      <c r="R77" s="1" t="s">
        <v>131</v>
      </c>
      <c r="S77" s="1" t="s">
        <v>173</v>
      </c>
      <c r="T77" s="1" t="s">
        <v>173</v>
      </c>
    </row>
    <row r="78" spans="15:20" x14ac:dyDescent="0.15">
      <c r="P78" s="129" t="s">
        <v>178</v>
      </c>
      <c r="Q78" s="129" t="s">
        <v>178</v>
      </c>
      <c r="R78" s="129" t="s">
        <v>179</v>
      </c>
      <c r="S78" s="1" t="s">
        <v>180</v>
      </c>
      <c r="T78" s="1" t="s">
        <v>181</v>
      </c>
    </row>
    <row r="79" spans="15:20" x14ac:dyDescent="0.15">
      <c r="P79" s="1" t="s">
        <v>187</v>
      </c>
      <c r="Q79" s="1" t="s">
        <v>188</v>
      </c>
      <c r="R79" s="1" t="s">
        <v>189</v>
      </c>
      <c r="S79" s="1" t="s">
        <v>190</v>
      </c>
      <c r="T79" s="1" t="s">
        <v>191</v>
      </c>
    </row>
    <row r="80" spans="15:20" x14ac:dyDescent="0.15">
      <c r="P80" s="1" t="s">
        <v>196</v>
      </c>
      <c r="Q80" s="1" t="s">
        <v>196</v>
      </c>
      <c r="R80" s="1" t="s">
        <v>196</v>
      </c>
      <c r="S80" s="1">
        <v>3</v>
      </c>
      <c r="T80" s="1">
        <v>3</v>
      </c>
    </row>
    <row r="81" spans="16:20" x14ac:dyDescent="0.15">
      <c r="P81" s="1" t="s">
        <v>196</v>
      </c>
      <c r="Q81" s="1" t="s">
        <v>196</v>
      </c>
      <c r="R81" s="1" t="s">
        <v>196</v>
      </c>
      <c r="S81" s="1">
        <v>520</v>
      </c>
      <c r="T81" s="1">
        <v>500</v>
      </c>
    </row>
    <row r="82" spans="16:20" x14ac:dyDescent="0.15">
      <c r="P82" s="1" t="s">
        <v>196</v>
      </c>
      <c r="Q82" s="1" t="s">
        <v>196</v>
      </c>
      <c r="R82" s="1" t="s">
        <v>196</v>
      </c>
      <c r="S82" s="1">
        <v>5</v>
      </c>
      <c r="T82" s="1">
        <v>6</v>
      </c>
    </row>
  </sheetData>
  <sheetProtection password="CF7A" sheet="1" objects="1" scenarios="1" selectLockedCells="1"/>
  <mergeCells count="36">
    <mergeCell ref="B21:C21"/>
    <mergeCell ref="B22:C22"/>
    <mergeCell ref="B16:C16"/>
    <mergeCell ref="B17:C17"/>
    <mergeCell ref="B18:C18"/>
    <mergeCell ref="B19:C19"/>
    <mergeCell ref="B20:C20"/>
    <mergeCell ref="B15:C15"/>
    <mergeCell ref="D3:E3"/>
    <mergeCell ref="G9:H9"/>
    <mergeCell ref="G10:H10"/>
    <mergeCell ref="G11:H11"/>
    <mergeCell ref="B14:C14"/>
    <mergeCell ref="B23:C23"/>
    <mergeCell ref="B24:C24"/>
    <mergeCell ref="B25:C25"/>
    <mergeCell ref="B26:C26"/>
    <mergeCell ref="E57:H57"/>
    <mergeCell ref="B47:D47"/>
    <mergeCell ref="B49:D49"/>
    <mergeCell ref="B28:C28"/>
    <mergeCell ref="I55:K55"/>
    <mergeCell ref="E55:H56"/>
    <mergeCell ref="E53:G53"/>
    <mergeCell ref="B30:C30"/>
    <mergeCell ref="B31:C31"/>
    <mergeCell ref="B32:C32"/>
    <mergeCell ref="B33:C33"/>
    <mergeCell ref="B34:C34"/>
    <mergeCell ref="B43:D43"/>
    <mergeCell ref="B44:D44"/>
    <mergeCell ref="B45:D45"/>
    <mergeCell ref="B46:D46"/>
    <mergeCell ref="B48:D48"/>
    <mergeCell ref="E52:H52"/>
    <mergeCell ref="J52:K52"/>
  </mergeCells>
  <phoneticPr fontId="2"/>
  <dataValidations count="4">
    <dataValidation type="decimal" allowBlank="1" showInputMessage="1" showErrorMessage="1" sqref="D983045 D65541 D131077 D196613 D262149 D327685 D393221 D458757 D524293 D589829 D655365 D720901 D786437 D851973 D917509">
      <formula1>1</formula1>
      <formula2>6</formula2>
    </dataValidation>
    <dataValidation type="decimal" allowBlank="1" showInputMessage="1" showErrorMessage="1" error="入力数値は、１．５以下です。F-2型で計算してください。" sqref="D4 D65540 D131076 D196612 D262148 D327684 D393220 D458756 D524292 D589828 D655364 D720900 D786436 D851972 D917508 D983044">
      <formula1>0.3</formula1>
      <formula2>1.5</formula2>
    </dataValidation>
    <dataValidation type="textLength" allowBlank="1" showInputMessage="1" showErrorMessage="1" sqref="M983049:M983092 N65538:AA65616 N131074:AA131152 N196610:AA196688 N262146:AA262224 N327682:AA327760 N393218:AA393296 N458754:AA458832 N524290:AA524368 N589826:AA589904 N655362:AA655440 N720898:AA720976 N786434:AA786512 N851970:AA852048 N917506:AA917584 N983042:AA983120 B65560:C65588 B131096:C131124 B196632:C196660 B262168:C262196 B327704:C327732 B393240:C393268 B458776:C458804 B524312:C524340 B589848:C589876 B655384:C655412 B720920:C720948 B786456:C786484 B851992:C852020 B917528:C917556 B983064:C983092 B65544:C65552 B131080:C131088 B196616:C196624 B262152:C262160 B327688:C327696 B393224:C393232 B458760:C458768 B524296:C524304 B589832:C589840 B655368:C655376 B720904:C720912 B786440:C786448 B851976:C851984 B917512:C917520 B983048:C983056 F7 F65543 F131079 F196615 F262151 F327687 F393223 F458759 F524295 F589831 F655367 F720903 F786439 F851975 F917511 F983047 D65544:L65588 D131080:L131124 D196616:L196660 D262152:L262196 D327688:L327732 D393224:L393268 D458760:L458804 D524296:L524340 D589832:L589876 D655368:L655412 D720904:L720948 D786440:L786484 D851976:L852020 D917512:L917556 D983048:L983092 D6:D7 D65542:D65543 D131078:D131079 D196614:D196615 D262150:D262151 D327686:D327687 D393222:D393223 D458758:D458759 D524294:D524295 D589830:D589831 D655366:D655367 D720902:D720903 D786438:D786439 D851974:D851975 D917510:D917511 D983046:D983047 M65545:M65588 M131081:M131124 M196617:M196660 M262153:M262196 M327689:M327732 M393225:M393268 M458761:M458804 M524297:M524340 M589833:M589876 M655369:M655412 M720905:M720948 M786441:M786484 M851977:M852020 M917513:M917556 P50:T60 L52:M52 I11:I14 O50:O80 U3:W3 X2:AA80 I8:I9 M9:M14 B8:H14 J8:L14 B52 N2:N80 O2:O47 U50:W80">
      <formula1>5</formula1>
      <formula2>6</formula2>
    </dataValidation>
    <dataValidation type="decimal" allowBlank="1" showInputMessage="1" showErrorMessage="1" sqref="D5">
      <formula1>0.3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1"/>
  <sheetViews>
    <sheetView view="pageBreakPreview" zoomScale="70" zoomScaleNormal="64" zoomScaleSheetLayoutView="70" workbookViewId="0">
      <selection activeCell="D5" sqref="D5"/>
    </sheetView>
  </sheetViews>
  <sheetFormatPr defaultRowHeight="13.5" x14ac:dyDescent="0.15"/>
  <cols>
    <col min="1" max="1" width="4.625" style="1" customWidth="1"/>
    <col min="2" max="2" width="10.875" style="1" customWidth="1"/>
    <col min="3" max="3" width="5.875" style="1" customWidth="1"/>
    <col min="4" max="4" width="12.875" style="1" bestFit="1" customWidth="1"/>
    <col min="5" max="5" width="9.75" style="1" bestFit="1" customWidth="1"/>
    <col min="6" max="6" width="3.375" style="1" customWidth="1"/>
    <col min="7" max="7" width="8.375" style="1" customWidth="1"/>
    <col min="8" max="8" width="3.375" style="1" customWidth="1"/>
    <col min="9" max="9" width="12.375" style="1" customWidth="1"/>
    <col min="10" max="10" width="10.875" style="1" customWidth="1"/>
    <col min="11" max="11" width="10.375" style="1" bestFit="1" customWidth="1"/>
    <col min="12" max="12" width="7.125" style="1" customWidth="1"/>
    <col min="13" max="13" width="10.875" style="1" customWidth="1"/>
    <col min="14" max="26" width="10.875" style="1" hidden="1" customWidth="1"/>
    <col min="27" max="27" width="10.875" style="1" customWidth="1"/>
  </cols>
  <sheetData>
    <row r="1" spans="1:24" x14ac:dyDescent="0.15">
      <c r="P1" s="2">
        <f>IF(D7&lt;=3.5,216.3,Q1)</f>
        <v>318.5</v>
      </c>
      <c r="Q1" s="3">
        <f>IF(D7&lt;=4.5,267.4,R1)</f>
        <v>318.5</v>
      </c>
      <c r="R1" s="3">
        <f>IF(D7&lt;=5.5,IF(D8&lt;2,267.4,318.5),S1)</f>
        <v>318.5</v>
      </c>
      <c r="S1" s="3">
        <f>IF(D7&lt;=7,318.5,T1)</f>
        <v>318.5</v>
      </c>
      <c r="T1" s="3">
        <f>IF(D7&lt;=8,IF(D8&lt;1.5,318.5,355.6),U1)</f>
        <v>355.6</v>
      </c>
      <c r="U1" s="3">
        <f>IF(D7&lt;=9.5,355.6,V1)</f>
        <v>355.6</v>
      </c>
      <c r="V1" s="3">
        <f>IF(D7&lt;=14,406.4,457.2)</f>
        <v>406.4</v>
      </c>
    </row>
    <row r="2" spans="1:24" ht="17.25" x14ac:dyDescent="0.2">
      <c r="B2" s="4"/>
      <c r="C2" s="5"/>
      <c r="D2" s="4" t="s">
        <v>184</v>
      </c>
      <c r="E2" s="5"/>
      <c r="F2" s="5"/>
      <c r="G2" s="5"/>
      <c r="H2" s="5"/>
      <c r="I2" s="5"/>
      <c r="J2" s="4" t="s">
        <v>0</v>
      </c>
      <c r="K2" s="6"/>
      <c r="L2" s="5"/>
      <c r="M2" s="135"/>
      <c r="P2" s="7">
        <f>IF(D8&lt;=3.5,216.3,Q2)</f>
        <v>216.3</v>
      </c>
      <c r="Q2" s="8"/>
      <c r="R2" s="9" t="s">
        <v>1</v>
      </c>
      <c r="S2" s="9" t="s">
        <v>1</v>
      </c>
      <c r="T2" s="8"/>
      <c r="U2" s="8"/>
      <c r="V2" s="8"/>
      <c r="W2" s="8"/>
    </row>
    <row r="3" spans="1:24" ht="17.25" x14ac:dyDescent="0.2">
      <c r="B3" s="10"/>
      <c r="C3" s="10"/>
      <c r="D3" s="173" t="s">
        <v>2</v>
      </c>
      <c r="E3" s="174"/>
      <c r="F3" s="10"/>
      <c r="G3" s="10"/>
      <c r="H3" s="10"/>
      <c r="I3" s="11"/>
      <c r="J3" s="5"/>
      <c r="K3" s="12"/>
      <c r="L3" s="5"/>
      <c r="M3" s="5"/>
      <c r="P3" s="13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5"/>
      <c r="X3" s="16"/>
    </row>
    <row r="4" spans="1:24" ht="17.25" x14ac:dyDescent="0.2">
      <c r="B4" s="17" t="s">
        <v>3</v>
      </c>
      <c r="C4" s="18"/>
      <c r="D4" s="137">
        <v>2</v>
      </c>
      <c r="E4" s="19" t="s">
        <v>4</v>
      </c>
      <c r="F4" s="20"/>
      <c r="G4" s="20"/>
      <c r="H4" s="21"/>
      <c r="I4" s="136">
        <v>5</v>
      </c>
      <c r="J4" s="22" t="s">
        <v>1</v>
      </c>
      <c r="K4" s="6"/>
      <c r="L4" s="5"/>
      <c r="M4" s="5"/>
      <c r="O4" s="23" t="s">
        <v>5</v>
      </c>
      <c r="P4" s="24">
        <v>216.3</v>
      </c>
      <c r="Q4" s="7">
        <v>267.39999999999998</v>
      </c>
      <c r="R4" s="7">
        <v>318.5</v>
      </c>
      <c r="S4" s="7">
        <v>355.6</v>
      </c>
      <c r="T4" s="7">
        <v>406.4</v>
      </c>
      <c r="U4" s="8"/>
      <c r="V4" s="7">
        <f>HLOOKUP(P1,P4:U4,1)</f>
        <v>318.5</v>
      </c>
      <c r="W4" s="25" t="s">
        <v>6</v>
      </c>
      <c r="X4" s="16"/>
    </row>
    <row r="5" spans="1:24" ht="17.25" x14ac:dyDescent="0.2">
      <c r="B5" s="17" t="s">
        <v>7</v>
      </c>
      <c r="C5" s="18"/>
      <c r="D5" s="137">
        <v>3</v>
      </c>
      <c r="E5" s="19"/>
      <c r="F5" s="20"/>
      <c r="G5" s="20"/>
      <c r="H5" s="20"/>
      <c r="I5" s="136"/>
      <c r="J5" s="26"/>
      <c r="K5" s="6"/>
      <c r="L5" s="5"/>
      <c r="M5" s="5"/>
      <c r="O5" s="23" t="s">
        <v>8</v>
      </c>
      <c r="P5" s="24">
        <v>5.8</v>
      </c>
      <c r="Q5" s="7">
        <v>6.6</v>
      </c>
      <c r="R5" s="7">
        <v>6.9</v>
      </c>
      <c r="S5" s="7">
        <v>7.9</v>
      </c>
      <c r="T5" s="7">
        <v>9.5</v>
      </c>
      <c r="U5" s="8"/>
      <c r="V5" s="7">
        <f>HLOOKUP(P1,P4:U5,2)</f>
        <v>6.9</v>
      </c>
      <c r="W5" s="25" t="s">
        <v>1</v>
      </c>
      <c r="X5" s="16"/>
    </row>
    <row r="6" spans="1:24" ht="17.25" x14ac:dyDescent="0.2">
      <c r="B6" s="17" t="s">
        <v>9</v>
      </c>
      <c r="C6" s="18"/>
      <c r="D6" s="27">
        <f>(D4/4*2)/2</f>
        <v>0.5</v>
      </c>
      <c r="E6" s="28" t="s">
        <v>10</v>
      </c>
      <c r="F6" s="29" t="s">
        <v>1</v>
      </c>
      <c r="G6" s="29" t="s">
        <v>11</v>
      </c>
      <c r="H6" s="29" t="s">
        <v>1</v>
      </c>
      <c r="I6" s="145">
        <v>0.3</v>
      </c>
      <c r="J6" s="26"/>
      <c r="K6" s="6"/>
      <c r="L6" s="5"/>
      <c r="M6" s="5"/>
      <c r="O6" s="23" t="s">
        <v>12</v>
      </c>
      <c r="P6" s="24">
        <v>114.3</v>
      </c>
      <c r="Q6" s="7">
        <v>139.80000000000001</v>
      </c>
      <c r="R6" s="7">
        <v>165.2</v>
      </c>
      <c r="S6" s="7">
        <v>190.7</v>
      </c>
      <c r="T6" s="7">
        <v>216.3</v>
      </c>
      <c r="U6" s="8"/>
      <c r="V6" s="7">
        <f>HLOOKUP(P1,P4:U6,3)</f>
        <v>165.2</v>
      </c>
      <c r="W6" s="25" t="s">
        <v>13</v>
      </c>
      <c r="X6" s="16"/>
    </row>
    <row r="7" spans="1:24" ht="17.25" x14ac:dyDescent="0.2">
      <c r="A7" s="30"/>
      <c r="B7" s="17" t="s">
        <v>14</v>
      </c>
      <c r="C7" s="31" t="s">
        <v>15</v>
      </c>
      <c r="D7" s="32">
        <f>D4*D5</f>
        <v>6</v>
      </c>
      <c r="E7" s="33"/>
      <c r="F7" s="34" t="str">
        <f>IF(D7&gt;14,"標識板標準外です。入力をやり直して下さい。","")</f>
        <v/>
      </c>
      <c r="G7" s="35"/>
      <c r="H7" s="36"/>
      <c r="I7" s="36"/>
      <c r="J7" s="5"/>
      <c r="K7" s="5"/>
      <c r="L7" s="5"/>
      <c r="M7" s="5"/>
      <c r="O7" s="23" t="s">
        <v>16</v>
      </c>
      <c r="P7" s="24">
        <v>4.5</v>
      </c>
      <c r="Q7" s="7">
        <v>4.5</v>
      </c>
      <c r="R7" s="7">
        <v>4.5</v>
      </c>
      <c r="S7" s="7">
        <v>5.3</v>
      </c>
      <c r="T7" s="7">
        <v>5.8</v>
      </c>
      <c r="U7" s="8"/>
      <c r="V7" s="7">
        <f>HLOOKUP(P1,P4:U7,4)</f>
        <v>4.5</v>
      </c>
      <c r="W7" s="25" t="s">
        <v>13</v>
      </c>
      <c r="X7" s="16"/>
    </row>
    <row r="8" spans="1:24" ht="17.25" x14ac:dyDescent="0.2">
      <c r="A8" s="30"/>
      <c r="B8" s="17" t="s">
        <v>17</v>
      </c>
      <c r="C8" s="20"/>
      <c r="D8" s="32">
        <f>D5/D4</f>
        <v>1.5</v>
      </c>
      <c r="E8" s="37"/>
      <c r="F8" s="35"/>
      <c r="G8" s="20"/>
      <c r="H8" s="20"/>
      <c r="I8" s="20"/>
      <c r="J8" s="5"/>
      <c r="K8" s="26"/>
      <c r="L8" s="26"/>
      <c r="M8" s="26"/>
      <c r="O8" s="38" t="s">
        <v>18</v>
      </c>
      <c r="P8" s="24">
        <v>76.3</v>
      </c>
      <c r="Q8" s="7">
        <v>101.6</v>
      </c>
      <c r="R8" s="7">
        <v>114.3</v>
      </c>
      <c r="S8" s="7">
        <v>139.80000000000001</v>
      </c>
      <c r="T8" s="7">
        <v>139.80000000000001</v>
      </c>
      <c r="U8" s="8"/>
      <c r="V8" s="7">
        <f>HLOOKUP(P1,P4:U8,5)</f>
        <v>114.3</v>
      </c>
      <c r="W8" s="25" t="s">
        <v>13</v>
      </c>
      <c r="X8" s="16"/>
    </row>
    <row r="9" spans="1:24" ht="17.25" x14ac:dyDescent="0.2">
      <c r="B9" s="5"/>
      <c r="C9" s="5"/>
      <c r="D9" s="5"/>
      <c r="E9" s="5"/>
      <c r="F9" s="5"/>
      <c r="G9" s="163" t="s">
        <v>19</v>
      </c>
      <c r="H9" s="164"/>
      <c r="I9" s="142">
        <f>ROUND(M36,0)</f>
        <v>727</v>
      </c>
      <c r="J9" s="40" t="s">
        <v>20</v>
      </c>
      <c r="K9" s="143"/>
      <c r="L9" s="26"/>
      <c r="M9" s="144"/>
      <c r="O9" s="23" t="s">
        <v>21</v>
      </c>
      <c r="P9" s="24">
        <v>3.2</v>
      </c>
      <c r="Q9" s="7">
        <v>4.2</v>
      </c>
      <c r="R9" s="7">
        <v>4.5</v>
      </c>
      <c r="S9" s="7">
        <v>4.5</v>
      </c>
      <c r="T9" s="7">
        <v>4.5</v>
      </c>
      <c r="U9" s="8"/>
      <c r="V9" s="7">
        <f>HLOOKUP(P1,P4:U9,6)</f>
        <v>4.5</v>
      </c>
      <c r="W9" s="25" t="s">
        <v>13</v>
      </c>
      <c r="X9" s="16"/>
    </row>
    <row r="10" spans="1:24" ht="17.25" x14ac:dyDescent="0.2">
      <c r="B10" s="5"/>
      <c r="C10" s="5"/>
      <c r="D10" s="5"/>
      <c r="E10" s="5"/>
      <c r="F10" s="41" t="s">
        <v>22</v>
      </c>
      <c r="G10" s="163" t="s">
        <v>23</v>
      </c>
      <c r="H10" s="164"/>
      <c r="I10" s="42">
        <f>ROUND(M48,0)</f>
        <v>61</v>
      </c>
      <c r="J10" s="40" t="s">
        <v>20</v>
      </c>
      <c r="K10" s="5"/>
      <c r="L10" s="5"/>
      <c r="M10" s="5"/>
      <c r="O10" s="23" t="s">
        <v>24</v>
      </c>
      <c r="P10" s="43">
        <v>200</v>
      </c>
      <c r="Q10" s="44">
        <v>200</v>
      </c>
      <c r="R10" s="44">
        <v>250</v>
      </c>
      <c r="S10" s="44">
        <v>250</v>
      </c>
      <c r="T10" s="44">
        <v>300</v>
      </c>
      <c r="U10" s="8"/>
      <c r="V10" s="44">
        <f>HLOOKUP(P1,P4:U10,7)</f>
        <v>250</v>
      </c>
      <c r="W10" s="25" t="s">
        <v>1</v>
      </c>
      <c r="X10" s="16"/>
    </row>
    <row r="11" spans="1:24" ht="17.25" x14ac:dyDescent="0.2">
      <c r="B11" s="5"/>
      <c r="C11" s="5"/>
      <c r="D11" s="5"/>
      <c r="E11" s="5"/>
      <c r="F11" s="5"/>
      <c r="G11" s="163" t="s">
        <v>25</v>
      </c>
      <c r="H11" s="164"/>
      <c r="I11" s="39">
        <f>I9+I10</f>
        <v>788</v>
      </c>
      <c r="J11" s="40" t="s">
        <v>20</v>
      </c>
      <c r="K11" s="5"/>
      <c r="L11" s="5"/>
      <c r="M11" s="5"/>
      <c r="O11" s="23" t="s">
        <v>26</v>
      </c>
      <c r="P11" s="43">
        <v>190</v>
      </c>
      <c r="Q11" s="44">
        <v>230</v>
      </c>
      <c r="R11" s="44">
        <v>270</v>
      </c>
      <c r="S11" s="44">
        <v>300</v>
      </c>
      <c r="T11" s="44">
        <v>340</v>
      </c>
      <c r="U11" s="8"/>
      <c r="V11" s="44">
        <f>HLOOKUP(P1,P4:U11,8)</f>
        <v>270</v>
      </c>
      <c r="W11" s="25" t="s">
        <v>1</v>
      </c>
      <c r="X11" s="16"/>
    </row>
    <row r="12" spans="1:24" ht="17.2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38" t="s">
        <v>27</v>
      </c>
      <c r="P12" s="43">
        <v>12</v>
      </c>
      <c r="Q12" s="44">
        <v>16</v>
      </c>
      <c r="R12" s="44">
        <v>16</v>
      </c>
      <c r="S12" s="44">
        <v>16</v>
      </c>
      <c r="T12" s="44">
        <v>22</v>
      </c>
      <c r="U12" s="8"/>
      <c r="V12" s="44">
        <f>HLOOKUP(P1,P4:U12,9)</f>
        <v>16</v>
      </c>
      <c r="W12" s="25" t="s">
        <v>1</v>
      </c>
      <c r="X12" s="16"/>
    </row>
    <row r="13" spans="1:24" ht="17.25" x14ac:dyDescent="0.15">
      <c r="B13" s="45"/>
      <c r="C13" s="20"/>
      <c r="D13" s="46" t="s">
        <v>28</v>
      </c>
      <c r="E13" s="47" t="str">
        <f>D2</f>
        <v>Ｆ2型標識</v>
      </c>
      <c r="F13" s="20"/>
      <c r="G13" s="20"/>
      <c r="H13" s="20"/>
      <c r="I13" s="20"/>
      <c r="J13" s="20"/>
      <c r="K13" s="20"/>
      <c r="L13" s="46" t="s">
        <v>29</v>
      </c>
      <c r="M13" s="48"/>
      <c r="N13" s="49"/>
      <c r="O13" s="38" t="s">
        <v>30</v>
      </c>
      <c r="P13" s="43">
        <v>300</v>
      </c>
      <c r="Q13" s="44">
        <v>300</v>
      </c>
      <c r="R13" s="44">
        <v>350</v>
      </c>
      <c r="S13" s="44">
        <v>400</v>
      </c>
      <c r="T13" s="44">
        <v>400</v>
      </c>
      <c r="U13" s="8"/>
      <c r="V13" s="44">
        <f>HLOOKUP(P1,P4:U13,10)</f>
        <v>350</v>
      </c>
      <c r="W13" s="50"/>
      <c r="X13" s="16"/>
    </row>
    <row r="14" spans="1:24" ht="17.25" x14ac:dyDescent="0.15">
      <c r="B14" s="163" t="s">
        <v>31</v>
      </c>
      <c r="C14" s="164"/>
      <c r="D14" s="51" t="s">
        <v>32</v>
      </c>
      <c r="E14" s="17" t="s">
        <v>33</v>
      </c>
      <c r="F14" s="20"/>
      <c r="G14" s="20"/>
      <c r="H14" s="20"/>
      <c r="I14" s="51" t="s">
        <v>34</v>
      </c>
      <c r="J14" s="17" t="s">
        <v>35</v>
      </c>
      <c r="K14" s="51" t="s">
        <v>36</v>
      </c>
      <c r="L14" s="51" t="s">
        <v>37</v>
      </c>
      <c r="M14" s="52" t="s">
        <v>38</v>
      </c>
      <c r="N14" s="49"/>
      <c r="O14" s="38" t="s">
        <v>39</v>
      </c>
      <c r="P14" s="53" t="s">
        <v>40</v>
      </c>
      <c r="Q14" s="54" t="s">
        <v>41</v>
      </c>
      <c r="R14" s="54" t="s">
        <v>41</v>
      </c>
      <c r="S14" s="54" t="s">
        <v>42</v>
      </c>
      <c r="T14" s="54" t="s">
        <v>43</v>
      </c>
      <c r="U14" s="8"/>
      <c r="V14" s="55" t="str">
        <f>HLOOKUP(P1,P4:U14,11)</f>
        <v xml:space="preserve">  M20</v>
      </c>
      <c r="W14" s="50"/>
      <c r="X14" s="16"/>
    </row>
    <row r="15" spans="1:24" ht="17.25" x14ac:dyDescent="0.2">
      <c r="B15" s="163" t="s">
        <v>44</v>
      </c>
      <c r="C15" s="164"/>
      <c r="D15" s="56" t="s">
        <v>45</v>
      </c>
      <c r="E15" s="57">
        <f>P1</f>
        <v>318.5</v>
      </c>
      <c r="F15" s="46" t="s">
        <v>46</v>
      </c>
      <c r="G15" s="21">
        <f>V5</f>
        <v>6.9</v>
      </c>
      <c r="H15" s="46" t="s">
        <v>47</v>
      </c>
      <c r="I15" s="58">
        <f>HLOOKUP(E15,P60:T61,2)</f>
        <v>7050</v>
      </c>
      <c r="J15" s="59">
        <f>U55</f>
        <v>53</v>
      </c>
      <c r="K15" s="59">
        <f>ROUND(J15*I15/1000,2)</f>
        <v>373.65</v>
      </c>
      <c r="L15" s="60">
        <v>1</v>
      </c>
      <c r="M15" s="61">
        <f t="shared" ref="M15:M32" si="0">ROUND(L15*K15,2)</f>
        <v>373.65</v>
      </c>
      <c r="N15" s="49"/>
      <c r="O15" s="38" t="s">
        <v>48</v>
      </c>
      <c r="P15" s="43">
        <v>22</v>
      </c>
      <c r="Q15" s="44">
        <v>25</v>
      </c>
      <c r="R15" s="44">
        <v>28</v>
      </c>
      <c r="S15" s="44">
        <v>32</v>
      </c>
      <c r="T15" s="44">
        <v>32</v>
      </c>
      <c r="U15" s="62"/>
      <c r="V15" s="55">
        <f>HLOOKUP(P1,P4:U15,12)</f>
        <v>28</v>
      </c>
      <c r="W15" s="50"/>
      <c r="X15" s="16"/>
    </row>
    <row r="16" spans="1:24" ht="17.25" x14ac:dyDescent="0.2">
      <c r="B16" s="163" t="s">
        <v>49</v>
      </c>
      <c r="C16" s="164"/>
      <c r="D16" s="51" t="s">
        <v>50</v>
      </c>
      <c r="E16" s="57">
        <f>V6</f>
        <v>165.2</v>
      </c>
      <c r="F16" s="46" t="s">
        <v>46</v>
      </c>
      <c r="G16" s="21">
        <f>V7</f>
        <v>4.5</v>
      </c>
      <c r="H16" s="46" t="s">
        <v>47</v>
      </c>
      <c r="I16" s="58">
        <f>HLOOKUP(E15,P63:T64,2)</f>
        <v>4120</v>
      </c>
      <c r="J16" s="59">
        <f>U53</f>
        <v>17.8</v>
      </c>
      <c r="K16" s="59">
        <f>ROUND(J16*I16/1000,2)</f>
        <v>73.34</v>
      </c>
      <c r="L16" s="60">
        <v>2</v>
      </c>
      <c r="M16" s="61">
        <f t="shared" si="0"/>
        <v>146.68</v>
      </c>
      <c r="N16" s="49"/>
      <c r="O16" s="38" t="s">
        <v>51</v>
      </c>
      <c r="P16" s="43">
        <v>600</v>
      </c>
      <c r="Q16" s="44">
        <v>600</v>
      </c>
      <c r="R16" s="44">
        <v>600</v>
      </c>
      <c r="S16" s="44">
        <v>650</v>
      </c>
      <c r="T16" s="44">
        <v>700</v>
      </c>
      <c r="U16" s="62"/>
      <c r="V16" s="55">
        <f>HLOOKUP(P1,P4:U16,13)</f>
        <v>600</v>
      </c>
      <c r="W16" s="50"/>
      <c r="X16" s="16"/>
    </row>
    <row r="17" spans="2:24" ht="17.25" x14ac:dyDescent="0.15">
      <c r="B17" s="163" t="s">
        <v>52</v>
      </c>
      <c r="C17" s="164"/>
      <c r="D17" s="51" t="s">
        <v>50</v>
      </c>
      <c r="E17" s="57">
        <f>V8</f>
        <v>114.3</v>
      </c>
      <c r="F17" s="46" t="s">
        <v>46</v>
      </c>
      <c r="G17" s="21">
        <f>V9</f>
        <v>4.5</v>
      </c>
      <c r="H17" s="20"/>
      <c r="I17" s="58">
        <f>(D4-D6*2)*1000</f>
        <v>1000</v>
      </c>
      <c r="J17" s="59">
        <f>U54</f>
        <v>12.2</v>
      </c>
      <c r="K17" s="59">
        <f>ROUND(J17*I17/1000,2)</f>
        <v>12.2</v>
      </c>
      <c r="L17" s="60">
        <v>2</v>
      </c>
      <c r="M17" s="61">
        <f t="shared" si="0"/>
        <v>24.4</v>
      </c>
      <c r="N17" s="49"/>
      <c r="O17" s="38" t="s">
        <v>23</v>
      </c>
      <c r="P17" s="63" t="s">
        <v>42</v>
      </c>
      <c r="Q17" s="64" t="s">
        <v>43</v>
      </c>
      <c r="R17" s="64" t="s">
        <v>53</v>
      </c>
      <c r="S17" s="64" t="s">
        <v>53</v>
      </c>
      <c r="T17" s="64" t="s">
        <v>54</v>
      </c>
      <c r="U17" s="44"/>
      <c r="V17" s="44" t="str">
        <f>HLOOKUP(P1,P4:U17,14)</f>
        <v xml:space="preserve">  M33</v>
      </c>
      <c r="W17" s="8"/>
      <c r="X17" s="16"/>
    </row>
    <row r="18" spans="2:24" ht="17.25" x14ac:dyDescent="0.15">
      <c r="B18" s="163" t="s">
        <v>55</v>
      </c>
      <c r="C18" s="182"/>
      <c r="D18" s="51" t="s">
        <v>56</v>
      </c>
      <c r="E18" s="65">
        <f>V12</f>
        <v>16</v>
      </c>
      <c r="F18" s="46" t="s">
        <v>46</v>
      </c>
      <c r="G18" s="66">
        <f>V13</f>
        <v>350</v>
      </c>
      <c r="H18" s="46" t="s">
        <v>57</v>
      </c>
      <c r="I18" s="67" t="s">
        <v>47</v>
      </c>
      <c r="J18" s="57">
        <f>ROUND(7850*E18/1000,1)</f>
        <v>125.6</v>
      </c>
      <c r="K18" s="59">
        <f>ROUND(((G18/2)^2-(E16/2)^2)*PI()/1000000*J18,2)</f>
        <v>9.39</v>
      </c>
      <c r="L18" s="65">
        <v>4</v>
      </c>
      <c r="M18" s="61">
        <f t="shared" si="0"/>
        <v>37.56</v>
      </c>
      <c r="N18" s="49"/>
      <c r="O18" s="38" t="s">
        <v>58</v>
      </c>
      <c r="P18" s="43">
        <v>200</v>
      </c>
      <c r="Q18" s="44">
        <v>200</v>
      </c>
      <c r="R18" s="44">
        <v>250</v>
      </c>
      <c r="S18" s="44">
        <v>250</v>
      </c>
      <c r="T18" s="44">
        <v>250</v>
      </c>
      <c r="U18" s="44"/>
      <c r="V18" s="44">
        <f>HLOOKUP(P1,P4:U18,15)</f>
        <v>250</v>
      </c>
      <c r="W18" s="8"/>
      <c r="X18" s="16"/>
    </row>
    <row r="19" spans="2:24" ht="17.25" x14ac:dyDescent="0.15">
      <c r="B19" s="163" t="s">
        <v>59</v>
      </c>
      <c r="C19" s="164"/>
      <c r="D19" s="51" t="s">
        <v>50</v>
      </c>
      <c r="E19" s="65">
        <v>12</v>
      </c>
      <c r="F19" s="46" t="s">
        <v>46</v>
      </c>
      <c r="G19" s="66">
        <f>IF(E15=406.4,82,ROUND((G18-E16)/2-10,0))</f>
        <v>82</v>
      </c>
      <c r="H19" s="18"/>
      <c r="I19" s="65">
        <v>200</v>
      </c>
      <c r="J19" s="57">
        <v>94.2</v>
      </c>
      <c r="K19" s="59">
        <f>V22</f>
        <v>0.92</v>
      </c>
      <c r="L19" s="65">
        <v>16</v>
      </c>
      <c r="M19" s="61">
        <f t="shared" si="0"/>
        <v>14.72</v>
      </c>
      <c r="N19" s="49"/>
      <c r="O19" s="38" t="s">
        <v>60</v>
      </c>
      <c r="P19" s="43">
        <v>130</v>
      </c>
      <c r="Q19" s="44">
        <v>100</v>
      </c>
      <c r="R19" s="44">
        <v>125</v>
      </c>
      <c r="S19" s="44">
        <v>106</v>
      </c>
      <c r="T19" s="44">
        <v>125</v>
      </c>
      <c r="U19" s="44"/>
      <c r="V19" s="44">
        <f>HLOOKUP(P1,P4:U19,16)</f>
        <v>125</v>
      </c>
      <c r="W19" s="68"/>
      <c r="X19" s="16"/>
    </row>
    <row r="20" spans="2:24" ht="17.25" x14ac:dyDescent="0.15">
      <c r="B20" s="163" t="s">
        <v>61</v>
      </c>
      <c r="C20" s="164"/>
      <c r="D20" s="51" t="s">
        <v>50</v>
      </c>
      <c r="E20" s="65">
        <v>12</v>
      </c>
      <c r="F20" s="46" t="s">
        <v>46</v>
      </c>
      <c r="G20" s="66">
        <f>IF(E15=406.4,82,ROUND((G18-E16)/2-10,0))</f>
        <v>82</v>
      </c>
      <c r="H20" s="18"/>
      <c r="I20" s="65">
        <f>V19</f>
        <v>125</v>
      </c>
      <c r="J20" s="57">
        <v>94.2</v>
      </c>
      <c r="K20" s="59">
        <f>V23</f>
        <v>0.95</v>
      </c>
      <c r="L20" s="65">
        <v>4</v>
      </c>
      <c r="M20" s="61">
        <f t="shared" si="0"/>
        <v>3.8</v>
      </c>
      <c r="N20" s="49"/>
      <c r="O20" s="38" t="s">
        <v>60</v>
      </c>
      <c r="P20" s="43">
        <v>195</v>
      </c>
      <c r="Q20" s="44">
        <v>144</v>
      </c>
      <c r="R20" s="44">
        <v>175</v>
      </c>
      <c r="S20" s="44">
        <v>168</v>
      </c>
      <c r="T20" s="44">
        <v>225</v>
      </c>
      <c r="U20" s="44"/>
      <c r="V20" s="44">
        <f>HLOOKUP(P1,P4:U20,17)</f>
        <v>175</v>
      </c>
      <c r="W20" s="68"/>
      <c r="X20" s="16"/>
    </row>
    <row r="21" spans="2:24" ht="17.25" x14ac:dyDescent="0.15">
      <c r="B21" s="163" t="s">
        <v>62</v>
      </c>
      <c r="C21" s="164"/>
      <c r="D21" s="51" t="s">
        <v>50</v>
      </c>
      <c r="E21" s="65">
        <v>12</v>
      </c>
      <c r="F21" s="46" t="s">
        <v>46</v>
      </c>
      <c r="G21" s="69">
        <f>IF(E15=406.4,82,ROUND((G18-E16)/2-10,0))</f>
        <v>82</v>
      </c>
      <c r="H21" s="18"/>
      <c r="I21" s="65">
        <f>V20</f>
        <v>175</v>
      </c>
      <c r="J21" s="57">
        <v>94.2</v>
      </c>
      <c r="K21" s="59">
        <f>V24</f>
        <v>1.01</v>
      </c>
      <c r="L21" s="65">
        <v>8</v>
      </c>
      <c r="M21" s="61">
        <f t="shared" si="0"/>
        <v>8.08</v>
      </c>
      <c r="N21" s="49"/>
      <c r="O21" s="38" t="s">
        <v>60</v>
      </c>
      <c r="P21" s="43">
        <v>238</v>
      </c>
      <c r="Q21" s="44">
        <v>234</v>
      </c>
      <c r="R21" s="44">
        <v>284</v>
      </c>
      <c r="S21" s="44">
        <v>284</v>
      </c>
      <c r="T21" s="44">
        <v>328</v>
      </c>
      <c r="U21" s="44"/>
      <c r="V21" s="44">
        <f>HLOOKUP(P1,P4:U21,18)</f>
        <v>284</v>
      </c>
      <c r="W21" s="68"/>
      <c r="X21" s="16"/>
    </row>
    <row r="22" spans="2:24" ht="17.25" x14ac:dyDescent="0.15">
      <c r="B22" s="163" t="s">
        <v>61</v>
      </c>
      <c r="C22" s="164"/>
      <c r="D22" s="51" t="s">
        <v>50</v>
      </c>
      <c r="E22" s="65">
        <v>12</v>
      </c>
      <c r="F22" s="46" t="s">
        <v>46</v>
      </c>
      <c r="G22" s="66">
        <f>HLOOKUP(E15,P66:T67,2)</f>
        <v>87</v>
      </c>
      <c r="H22" s="18"/>
      <c r="I22" s="65">
        <f>V21</f>
        <v>284</v>
      </c>
      <c r="J22" s="57">
        <v>94.2</v>
      </c>
      <c r="K22" s="59">
        <f>V25</f>
        <v>1.54</v>
      </c>
      <c r="L22" s="65">
        <v>4</v>
      </c>
      <c r="M22" s="61">
        <f t="shared" si="0"/>
        <v>6.16</v>
      </c>
      <c r="N22" s="49"/>
      <c r="O22" s="38" t="s">
        <v>63</v>
      </c>
      <c r="P22" s="70">
        <v>0.93</v>
      </c>
      <c r="Q22" s="68">
        <v>0.8</v>
      </c>
      <c r="R22" s="68">
        <v>0.92</v>
      </c>
      <c r="S22" s="68">
        <v>1.06</v>
      </c>
      <c r="T22" s="68">
        <v>0.9</v>
      </c>
      <c r="U22" s="68"/>
      <c r="V22" s="68">
        <f>HLOOKUP(P1,P4:U22,19)</f>
        <v>0.92</v>
      </c>
      <c r="W22" s="68"/>
      <c r="X22" s="16"/>
    </row>
    <row r="23" spans="2:24" ht="17.25" x14ac:dyDescent="0.15">
      <c r="B23" s="163" t="s">
        <v>64</v>
      </c>
      <c r="C23" s="164"/>
      <c r="D23" s="51" t="s">
        <v>50</v>
      </c>
      <c r="E23" s="65">
        <f>V15</f>
        <v>28</v>
      </c>
      <c r="F23" s="46" t="s">
        <v>46</v>
      </c>
      <c r="G23" s="66">
        <f>V16</f>
        <v>600</v>
      </c>
      <c r="H23" s="20"/>
      <c r="I23" s="65">
        <f>G23</f>
        <v>600</v>
      </c>
      <c r="J23" s="57">
        <f>ROUND(7850*E23/1000,1)</f>
        <v>219.8</v>
      </c>
      <c r="K23" s="59">
        <f>V47</f>
        <v>61.62</v>
      </c>
      <c r="L23" s="65">
        <v>1</v>
      </c>
      <c r="M23" s="61">
        <f t="shared" si="0"/>
        <v>61.62</v>
      </c>
      <c r="N23" s="49"/>
      <c r="O23" s="38" t="s">
        <v>63</v>
      </c>
      <c r="P23" s="70">
        <v>1</v>
      </c>
      <c r="Q23" s="68">
        <v>0.64</v>
      </c>
      <c r="R23" s="68">
        <v>0.95</v>
      </c>
      <c r="S23" s="68">
        <v>0.93</v>
      </c>
      <c r="T23" s="68">
        <v>0.96</v>
      </c>
      <c r="U23" s="68"/>
      <c r="V23" s="68">
        <f>HLOOKUP(P1,P4:U23,20)</f>
        <v>0.95</v>
      </c>
      <c r="W23" s="68"/>
      <c r="X23" s="16"/>
    </row>
    <row r="24" spans="2:24" ht="17.25" x14ac:dyDescent="0.15">
      <c r="B24" s="163" t="s">
        <v>59</v>
      </c>
      <c r="C24" s="164"/>
      <c r="D24" s="51" t="s">
        <v>50</v>
      </c>
      <c r="E24" s="65">
        <v>12</v>
      </c>
      <c r="F24" s="46" t="s">
        <v>46</v>
      </c>
      <c r="G24" s="66">
        <f>V26</f>
        <v>141</v>
      </c>
      <c r="H24" s="20"/>
      <c r="I24" s="65">
        <v>250</v>
      </c>
      <c r="J24" s="57">
        <v>94.2</v>
      </c>
      <c r="K24" s="59">
        <f>V27</f>
        <v>1.8</v>
      </c>
      <c r="L24" s="65">
        <v>8</v>
      </c>
      <c r="M24" s="61">
        <f t="shared" si="0"/>
        <v>14.4</v>
      </c>
      <c r="N24" s="49"/>
      <c r="O24" s="38" t="s">
        <v>63</v>
      </c>
      <c r="P24" s="70">
        <v>1.06</v>
      </c>
      <c r="Q24" s="68">
        <v>0.69</v>
      </c>
      <c r="R24" s="68">
        <v>1.01</v>
      </c>
      <c r="S24" s="68">
        <v>1.03</v>
      </c>
      <c r="T24" s="68">
        <v>1.4</v>
      </c>
      <c r="U24" s="68"/>
      <c r="V24" s="68">
        <f>HLOOKUP(P1,P4:U24,21)</f>
        <v>1.01</v>
      </c>
      <c r="W24" s="68"/>
      <c r="X24" s="16"/>
    </row>
    <row r="25" spans="2:24" ht="17.25" x14ac:dyDescent="0.15">
      <c r="B25" s="163" t="s">
        <v>65</v>
      </c>
      <c r="C25" s="164"/>
      <c r="D25" s="51" t="s">
        <v>50</v>
      </c>
      <c r="E25" s="65">
        <v>12</v>
      </c>
      <c r="F25" s="46" t="s">
        <v>46</v>
      </c>
      <c r="G25" s="66">
        <f>V18</f>
        <v>250</v>
      </c>
      <c r="H25" s="20"/>
      <c r="I25" s="65">
        <f>G25</f>
        <v>250</v>
      </c>
      <c r="J25" s="57">
        <v>94.2</v>
      </c>
      <c r="K25" s="59">
        <f>V36</f>
        <v>4.88</v>
      </c>
      <c r="L25" s="65">
        <v>4</v>
      </c>
      <c r="M25" s="61">
        <f t="shared" si="0"/>
        <v>19.52</v>
      </c>
      <c r="N25" s="49"/>
      <c r="O25" s="38" t="s">
        <v>63</v>
      </c>
      <c r="P25" s="70">
        <v>1.28</v>
      </c>
      <c r="Q25" s="68">
        <v>1.08</v>
      </c>
      <c r="R25" s="68">
        <v>1.54</v>
      </c>
      <c r="S25" s="68">
        <v>1.66</v>
      </c>
      <c r="T25" s="68">
        <v>1.7</v>
      </c>
      <c r="U25" s="68"/>
      <c r="V25" s="68">
        <f>HLOOKUP(P1,P4:U25,22)</f>
        <v>1.54</v>
      </c>
      <c r="W25" s="68"/>
      <c r="X25" s="16"/>
    </row>
    <row r="26" spans="2:24" ht="17.25" x14ac:dyDescent="0.15">
      <c r="B26" s="163" t="s">
        <v>66</v>
      </c>
      <c r="C26" s="164"/>
      <c r="D26" s="51" t="s">
        <v>50</v>
      </c>
      <c r="E26" s="57">
        <v>3.2</v>
      </c>
      <c r="F26" s="46" t="s">
        <v>46</v>
      </c>
      <c r="G26" s="66">
        <f>V28</f>
        <v>359</v>
      </c>
      <c r="H26" s="46" t="s">
        <v>57</v>
      </c>
      <c r="I26" s="71" t="s">
        <v>47</v>
      </c>
      <c r="J26" s="59">
        <v>25.12</v>
      </c>
      <c r="K26" s="59">
        <f>V29</f>
        <v>2.54</v>
      </c>
      <c r="L26" s="65">
        <v>1</v>
      </c>
      <c r="M26" s="61">
        <f t="shared" si="0"/>
        <v>2.54</v>
      </c>
      <c r="N26" s="49"/>
      <c r="O26" s="38" t="s">
        <v>67</v>
      </c>
      <c r="P26" s="43">
        <v>192</v>
      </c>
      <c r="Q26" s="44">
        <v>167</v>
      </c>
      <c r="R26" s="44">
        <v>141</v>
      </c>
      <c r="S26" s="44">
        <v>148</v>
      </c>
      <c r="T26" s="44">
        <v>147</v>
      </c>
      <c r="U26" s="44"/>
      <c r="V26" s="44">
        <f>HLOOKUP(P1,P4:U26,23)</f>
        <v>141</v>
      </c>
      <c r="W26" s="68"/>
      <c r="X26" s="16"/>
    </row>
    <row r="27" spans="2:24" ht="17.25" x14ac:dyDescent="0.15">
      <c r="B27" s="163" t="s">
        <v>68</v>
      </c>
      <c r="C27" s="164"/>
      <c r="D27" s="51" t="s">
        <v>50</v>
      </c>
      <c r="E27" s="57">
        <v>4.5</v>
      </c>
      <c r="F27" s="46" t="s">
        <v>46</v>
      </c>
      <c r="G27" s="66">
        <f>V30</f>
        <v>339</v>
      </c>
      <c r="H27" s="46" t="s">
        <v>57</v>
      </c>
      <c r="I27" s="71" t="s">
        <v>1</v>
      </c>
      <c r="J27" s="59">
        <v>35.33</v>
      </c>
      <c r="K27" s="59">
        <f>V31</f>
        <v>3.19</v>
      </c>
      <c r="L27" s="65">
        <v>1</v>
      </c>
      <c r="M27" s="61">
        <f t="shared" si="0"/>
        <v>3.19</v>
      </c>
      <c r="N27" s="49"/>
      <c r="O27" s="38" t="s">
        <v>63</v>
      </c>
      <c r="P27" s="70">
        <v>2.54</v>
      </c>
      <c r="Q27" s="68">
        <v>2.2200000000000002</v>
      </c>
      <c r="R27" s="68">
        <v>1.8</v>
      </c>
      <c r="S27" s="68">
        <v>1.98</v>
      </c>
      <c r="T27" s="68">
        <v>1.9</v>
      </c>
      <c r="U27" s="68"/>
      <c r="V27" s="68">
        <f>HLOOKUP(P1,P4:U27,24)</f>
        <v>1.8</v>
      </c>
      <c r="W27" s="68"/>
      <c r="X27" s="16"/>
    </row>
    <row r="28" spans="2:24" ht="17.25" x14ac:dyDescent="0.15">
      <c r="B28" s="163" t="s">
        <v>69</v>
      </c>
      <c r="C28" s="164"/>
      <c r="D28" s="51" t="s">
        <v>50</v>
      </c>
      <c r="E28" s="57">
        <v>4.5</v>
      </c>
      <c r="F28" s="46" t="s">
        <v>46</v>
      </c>
      <c r="G28" s="66">
        <v>50</v>
      </c>
      <c r="H28" s="46" t="s">
        <v>47</v>
      </c>
      <c r="I28" s="65">
        <v>50</v>
      </c>
      <c r="J28" s="59">
        <v>35.33</v>
      </c>
      <c r="K28" s="59">
        <v>0.09</v>
      </c>
      <c r="L28" s="65">
        <v>4</v>
      </c>
      <c r="M28" s="61">
        <f t="shared" si="0"/>
        <v>0.36</v>
      </c>
      <c r="N28" s="49"/>
      <c r="O28" s="38" t="s">
        <v>70</v>
      </c>
      <c r="P28" s="43">
        <v>266</v>
      </c>
      <c r="Q28" s="44">
        <v>312</v>
      </c>
      <c r="R28" s="44">
        <v>359</v>
      </c>
      <c r="S28" s="44">
        <v>394</v>
      </c>
      <c r="T28" s="44">
        <v>444</v>
      </c>
      <c r="U28" s="44"/>
      <c r="V28" s="44">
        <f>HLOOKUP(P1,P4:U28,25)</f>
        <v>359</v>
      </c>
      <c r="W28" s="68"/>
      <c r="X28" s="16"/>
    </row>
    <row r="29" spans="2:24" ht="17.25" x14ac:dyDescent="0.15">
      <c r="B29" s="163" t="s">
        <v>71</v>
      </c>
      <c r="C29" s="164"/>
      <c r="D29" s="51" t="s">
        <v>50</v>
      </c>
      <c r="E29" s="57">
        <v>3.2</v>
      </c>
      <c r="F29" s="46" t="s">
        <v>46</v>
      </c>
      <c r="G29" s="66">
        <f>V32</f>
        <v>175</v>
      </c>
      <c r="H29" s="46" t="s">
        <v>57</v>
      </c>
      <c r="I29" s="71" t="s">
        <v>47</v>
      </c>
      <c r="J29" s="59">
        <v>25.12</v>
      </c>
      <c r="K29" s="59">
        <f>V33</f>
        <v>0.6</v>
      </c>
      <c r="L29" s="65">
        <v>4</v>
      </c>
      <c r="M29" s="61">
        <f t="shared" si="0"/>
        <v>2.4</v>
      </c>
      <c r="N29" s="49"/>
      <c r="O29" s="38" t="s">
        <v>63</v>
      </c>
      <c r="P29" s="70">
        <v>1.4</v>
      </c>
      <c r="Q29" s="68">
        <v>1.92</v>
      </c>
      <c r="R29" s="68">
        <v>2.54</v>
      </c>
      <c r="S29" s="68">
        <v>3.06</v>
      </c>
      <c r="T29" s="68">
        <v>3.89</v>
      </c>
      <c r="U29" s="68"/>
      <c r="V29" s="44">
        <f>HLOOKUP(P1,P4:U29,26)</f>
        <v>2.54</v>
      </c>
      <c r="W29" s="68"/>
      <c r="X29" s="16"/>
    </row>
    <row r="30" spans="2:24" ht="17.25" x14ac:dyDescent="0.15">
      <c r="B30" s="163" t="s">
        <v>72</v>
      </c>
      <c r="C30" s="164"/>
      <c r="D30" s="51" t="s">
        <v>73</v>
      </c>
      <c r="E30" s="57" t="str">
        <f>V14</f>
        <v xml:space="preserve">  M20</v>
      </c>
      <c r="F30" s="72" t="s">
        <v>220</v>
      </c>
      <c r="G30" s="73"/>
      <c r="H30" s="46"/>
      <c r="I30" s="65">
        <f>V34</f>
        <v>85</v>
      </c>
      <c r="J30" s="74" t="s">
        <v>47</v>
      </c>
      <c r="K30" s="59">
        <f>V35</f>
        <v>0.39</v>
      </c>
      <c r="L30" s="65">
        <v>16</v>
      </c>
      <c r="M30" s="61">
        <f t="shared" si="0"/>
        <v>6.24</v>
      </c>
      <c r="N30" s="49"/>
      <c r="O30" s="38" t="s">
        <v>74</v>
      </c>
      <c r="P30" s="43">
        <v>236</v>
      </c>
      <c r="Q30" s="44">
        <v>290</v>
      </c>
      <c r="R30" s="44">
        <v>339</v>
      </c>
      <c r="S30" s="44">
        <v>376</v>
      </c>
      <c r="T30" s="44">
        <v>427</v>
      </c>
      <c r="U30" s="44"/>
      <c r="V30" s="44">
        <f>HLOOKUP(P1,P4:U30,27)</f>
        <v>339</v>
      </c>
      <c r="W30" s="68"/>
      <c r="X30" s="16"/>
    </row>
    <row r="31" spans="2:24" ht="17.25" x14ac:dyDescent="0.15">
      <c r="B31" s="163" t="s">
        <v>75</v>
      </c>
      <c r="C31" s="164"/>
      <c r="D31" s="51" t="s">
        <v>50</v>
      </c>
      <c r="E31" s="75" t="s">
        <v>76</v>
      </c>
      <c r="F31" s="72" t="s">
        <v>1</v>
      </c>
      <c r="G31" s="76" t="s">
        <v>50</v>
      </c>
      <c r="H31" s="72" t="s">
        <v>1</v>
      </c>
      <c r="I31" s="65">
        <v>65</v>
      </c>
      <c r="J31" s="77"/>
      <c r="K31" s="59">
        <v>0.2</v>
      </c>
      <c r="L31" s="65">
        <v>8</v>
      </c>
      <c r="M31" s="61">
        <f t="shared" si="0"/>
        <v>1.6</v>
      </c>
      <c r="N31" s="49"/>
      <c r="O31" s="38" t="s">
        <v>63</v>
      </c>
      <c r="P31" s="70">
        <v>1.55</v>
      </c>
      <c r="Q31" s="68">
        <v>2.33</v>
      </c>
      <c r="R31" s="68">
        <v>3.19</v>
      </c>
      <c r="S31" s="68">
        <v>3.92</v>
      </c>
      <c r="T31" s="68">
        <v>5.0599999999999996</v>
      </c>
      <c r="U31" s="68"/>
      <c r="V31" s="44">
        <f>HLOOKUP(P1,P4:U31,28)</f>
        <v>3.19</v>
      </c>
      <c r="W31" s="68"/>
      <c r="X31" s="16"/>
    </row>
    <row r="32" spans="2:24" ht="17.25" x14ac:dyDescent="0.15">
      <c r="B32" s="163" t="s">
        <v>77</v>
      </c>
      <c r="C32" s="164"/>
      <c r="D32" s="51" t="s">
        <v>78</v>
      </c>
      <c r="E32" s="75" t="s">
        <v>79</v>
      </c>
      <c r="F32" s="18"/>
      <c r="G32" s="78"/>
      <c r="H32" s="18"/>
      <c r="I32" s="65">
        <v>25</v>
      </c>
      <c r="J32" s="77"/>
      <c r="K32" s="59">
        <v>0.01</v>
      </c>
      <c r="L32" s="65">
        <v>4</v>
      </c>
      <c r="M32" s="61">
        <f t="shared" si="0"/>
        <v>0.04</v>
      </c>
      <c r="N32" s="49"/>
      <c r="O32" s="38" t="s">
        <v>80</v>
      </c>
      <c r="P32" s="43">
        <v>128</v>
      </c>
      <c r="Q32" s="44">
        <v>151</v>
      </c>
      <c r="R32" s="44">
        <v>175</v>
      </c>
      <c r="S32" s="44">
        <v>199</v>
      </c>
      <c r="T32" s="44">
        <v>224</v>
      </c>
      <c r="U32" s="44"/>
      <c r="V32" s="44">
        <f>HLOOKUP(P1,P4:U32,29)</f>
        <v>175</v>
      </c>
      <c r="W32" s="68"/>
      <c r="X32" s="16"/>
    </row>
    <row r="33" spans="2:27" ht="17.25" x14ac:dyDescent="0.15">
      <c r="B33" s="45"/>
      <c r="C33" s="20"/>
      <c r="D33" s="79"/>
      <c r="E33" s="65"/>
      <c r="F33" s="20"/>
      <c r="G33" s="66"/>
      <c r="H33" s="20"/>
      <c r="I33" s="65"/>
      <c r="J33" s="59"/>
      <c r="K33" s="59"/>
      <c r="L33" s="71" t="s">
        <v>1</v>
      </c>
      <c r="M33" s="80" t="s">
        <v>1</v>
      </c>
      <c r="N33" s="49"/>
      <c r="O33" s="38" t="s">
        <v>63</v>
      </c>
      <c r="P33" s="70">
        <v>0.32</v>
      </c>
      <c r="Q33" s="68">
        <v>0.45</v>
      </c>
      <c r="R33" s="68">
        <v>0.6</v>
      </c>
      <c r="S33" s="68">
        <v>0.78</v>
      </c>
      <c r="T33" s="68">
        <v>0.99</v>
      </c>
      <c r="U33" s="68"/>
      <c r="V33" s="44">
        <f>HLOOKUP(P1,P4:U33,30)</f>
        <v>0.6</v>
      </c>
      <c r="W33" s="8"/>
      <c r="X33" s="16"/>
    </row>
    <row r="34" spans="2:27" ht="17.25" x14ac:dyDescent="0.15">
      <c r="B34" s="81"/>
      <c r="C34" s="18"/>
      <c r="D34" s="82"/>
      <c r="E34" s="81"/>
      <c r="F34" s="18"/>
      <c r="G34" s="18"/>
      <c r="H34" s="18"/>
      <c r="I34" s="83"/>
      <c r="J34" s="77"/>
      <c r="K34" s="77"/>
      <c r="L34" s="83"/>
      <c r="M34" s="84"/>
      <c r="N34" s="49"/>
      <c r="O34" s="38" t="s">
        <v>39</v>
      </c>
      <c r="P34" s="43">
        <v>70</v>
      </c>
      <c r="Q34" s="44">
        <v>85</v>
      </c>
      <c r="R34" s="44">
        <v>85</v>
      </c>
      <c r="S34" s="44">
        <v>90</v>
      </c>
      <c r="T34" s="44">
        <v>120</v>
      </c>
      <c r="U34" s="44"/>
      <c r="V34" s="44">
        <f>HLOOKUP(P1,P4:U34,31)</f>
        <v>85</v>
      </c>
      <c r="W34" s="8"/>
      <c r="X34" s="16"/>
    </row>
    <row r="35" spans="2:27" ht="17.25" x14ac:dyDescent="0.15">
      <c r="B35" s="81"/>
      <c r="C35" s="18"/>
      <c r="D35" s="82"/>
      <c r="E35" s="85"/>
      <c r="F35" s="18"/>
      <c r="G35" s="86"/>
      <c r="H35" s="18"/>
      <c r="I35" s="81"/>
      <c r="J35" s="77"/>
      <c r="K35" s="77"/>
      <c r="L35" s="83"/>
      <c r="M35" s="87"/>
      <c r="N35" s="49"/>
      <c r="O35" s="38" t="s">
        <v>63</v>
      </c>
      <c r="P35" s="70">
        <v>0.21</v>
      </c>
      <c r="Q35" s="68">
        <v>0.39</v>
      </c>
      <c r="R35" s="68">
        <v>0.39</v>
      </c>
      <c r="S35" s="68">
        <v>0.48</v>
      </c>
      <c r="T35" s="68">
        <v>0.99</v>
      </c>
      <c r="U35" s="8"/>
      <c r="V35" s="68">
        <f>HLOOKUP(P1,P4:U35,32)</f>
        <v>0.39</v>
      </c>
      <c r="W35" s="8"/>
      <c r="X35" s="16"/>
    </row>
    <row r="36" spans="2:27" ht="17.25" x14ac:dyDescent="0.2">
      <c r="B36" s="81"/>
      <c r="C36" s="18"/>
      <c r="D36" s="82"/>
      <c r="E36" s="85"/>
      <c r="F36" s="18"/>
      <c r="G36" s="86"/>
      <c r="H36" s="18"/>
      <c r="I36" s="83"/>
      <c r="J36" s="77"/>
      <c r="K36" s="77"/>
      <c r="L36" s="83"/>
      <c r="M36" s="61">
        <f>SUM(M15:M35)</f>
        <v>726.95999999999992</v>
      </c>
      <c r="N36" s="49"/>
      <c r="O36" s="38" t="s">
        <v>81</v>
      </c>
      <c r="P36" s="8">
        <v>3.28</v>
      </c>
      <c r="Q36" s="8">
        <v>3.05</v>
      </c>
      <c r="R36" s="8">
        <v>4.88</v>
      </c>
      <c r="S36" s="8">
        <v>4.55</v>
      </c>
      <c r="T36" s="8">
        <v>4.55</v>
      </c>
      <c r="U36" s="8"/>
      <c r="V36" s="68">
        <f>HLOOKUP(P1,P4:U36,33)</f>
        <v>4.88</v>
      </c>
      <c r="W36" s="8"/>
      <c r="X36" s="89"/>
      <c r="Y36" s="90"/>
      <c r="Z36" s="90"/>
      <c r="AA36" s="89"/>
    </row>
    <row r="37" spans="2:27" ht="17.25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O37" s="38" t="s">
        <v>23</v>
      </c>
      <c r="P37" s="53" t="s">
        <v>82</v>
      </c>
      <c r="Q37" s="54" t="s">
        <v>83</v>
      </c>
      <c r="R37" s="54" t="s">
        <v>84</v>
      </c>
      <c r="S37" s="54" t="s">
        <v>84</v>
      </c>
      <c r="T37" s="54" t="s">
        <v>85</v>
      </c>
      <c r="U37" s="8"/>
      <c r="V37" s="55" t="str">
        <f>HLOOKUP(P1,P4:U37,34)</f>
        <v>　M33</v>
      </c>
      <c r="W37" s="8"/>
      <c r="X37" s="91"/>
      <c r="Y37" s="92"/>
      <c r="Z37" s="92"/>
      <c r="AA37" s="93"/>
    </row>
    <row r="38" spans="2:27" ht="17.25" x14ac:dyDescent="0.2">
      <c r="B38" s="36"/>
      <c r="D38" s="94"/>
      <c r="E38" s="95"/>
      <c r="F38" s="36"/>
      <c r="G38" s="96"/>
      <c r="H38" s="36"/>
      <c r="I38" s="97"/>
      <c r="J38" s="98"/>
      <c r="K38" s="98"/>
      <c r="L38" s="97"/>
      <c r="M38" s="98"/>
      <c r="O38" s="38" t="s">
        <v>86</v>
      </c>
      <c r="P38" s="99">
        <v>700</v>
      </c>
      <c r="Q38" s="55">
        <v>850</v>
      </c>
      <c r="R38" s="55">
        <v>1000</v>
      </c>
      <c r="S38" s="55">
        <v>1000</v>
      </c>
      <c r="T38" s="55">
        <v>1000</v>
      </c>
      <c r="U38" s="8"/>
      <c r="V38" s="44">
        <f>HLOOKUP(P1,P4:U38,35)</f>
        <v>1000</v>
      </c>
      <c r="W38" s="8"/>
      <c r="X38" s="91"/>
      <c r="Y38" s="92"/>
      <c r="Z38" s="92"/>
      <c r="AA38" s="93"/>
    </row>
    <row r="39" spans="2:27" ht="17.25" customHeight="1" x14ac:dyDescent="0.15">
      <c r="B39" s="36"/>
      <c r="C39" s="36"/>
      <c r="D39" s="36"/>
      <c r="E39" s="96"/>
      <c r="F39" s="36"/>
      <c r="G39" s="96"/>
      <c r="H39" s="36"/>
      <c r="I39" s="97"/>
      <c r="J39" s="98"/>
      <c r="K39" s="98"/>
      <c r="L39" s="97"/>
      <c r="M39" s="98"/>
      <c r="O39" s="38" t="s">
        <v>87</v>
      </c>
      <c r="P39" s="70">
        <v>2.09</v>
      </c>
      <c r="Q39" s="68">
        <v>3.82</v>
      </c>
      <c r="R39" s="68">
        <v>6.71</v>
      </c>
      <c r="S39" s="68">
        <v>6.71</v>
      </c>
      <c r="T39" s="68">
        <v>7.99</v>
      </c>
      <c r="U39" s="68"/>
      <c r="V39" s="68">
        <f>HLOOKUP(P1,P4:U39,36)</f>
        <v>6.71</v>
      </c>
      <c r="W39" s="68"/>
      <c r="X39" s="100"/>
      <c r="Y39" s="92"/>
      <c r="Z39" s="92"/>
      <c r="AA39" s="93"/>
    </row>
    <row r="40" spans="2:27" ht="17.25" customHeight="1" x14ac:dyDescent="0.15">
      <c r="B40" s="18"/>
      <c r="C40" s="18"/>
      <c r="D40" s="46" t="s">
        <v>88</v>
      </c>
      <c r="E40" s="21"/>
      <c r="F40" s="20"/>
      <c r="G40" s="21"/>
      <c r="H40" s="20"/>
      <c r="I40" s="66" t="str">
        <f>V45</f>
        <v>(6-M33×1000)</v>
      </c>
      <c r="J40" s="101"/>
      <c r="K40" s="102"/>
      <c r="L40" s="78"/>
      <c r="M40" s="103" t="s">
        <v>1</v>
      </c>
      <c r="O40" s="38" t="s">
        <v>89</v>
      </c>
      <c r="P40" s="99">
        <v>525</v>
      </c>
      <c r="Q40" s="55">
        <v>525</v>
      </c>
      <c r="R40" s="55">
        <v>525</v>
      </c>
      <c r="S40" s="55">
        <v>575</v>
      </c>
      <c r="T40" s="55">
        <v>625</v>
      </c>
      <c r="U40" s="8"/>
      <c r="V40" s="44">
        <f>HLOOKUP(P1,P4:U40,37)</f>
        <v>525</v>
      </c>
      <c r="W40" s="8"/>
      <c r="X40" s="100"/>
      <c r="Y40" s="92"/>
      <c r="Z40" s="92"/>
      <c r="AA40" s="93"/>
    </row>
    <row r="41" spans="2:27" ht="17.25" customHeight="1" x14ac:dyDescent="0.15">
      <c r="B41" s="165" t="s">
        <v>90</v>
      </c>
      <c r="C41" s="166"/>
      <c r="D41" s="164"/>
      <c r="E41" s="65"/>
      <c r="F41" s="46" t="s">
        <v>91</v>
      </c>
      <c r="G41" s="66"/>
      <c r="H41" s="20"/>
      <c r="I41" s="66"/>
      <c r="J41" s="74" t="s">
        <v>92</v>
      </c>
      <c r="K41" s="101"/>
      <c r="L41" s="71" t="s">
        <v>93</v>
      </c>
      <c r="M41" s="104" t="s">
        <v>94</v>
      </c>
      <c r="N41" s="49"/>
      <c r="O41" s="38" t="s">
        <v>87</v>
      </c>
      <c r="P41" s="70">
        <v>1.85</v>
      </c>
      <c r="Q41" s="68">
        <v>1.85</v>
      </c>
      <c r="R41" s="68">
        <v>1.85</v>
      </c>
      <c r="S41" s="68">
        <v>2.0299999999999998</v>
      </c>
      <c r="T41" s="68">
        <v>2.21</v>
      </c>
      <c r="U41" s="8"/>
      <c r="V41" s="68">
        <f>HLOOKUP(P1,P4:U41,38)</f>
        <v>1.85</v>
      </c>
      <c r="W41" s="8"/>
      <c r="X41" s="100"/>
      <c r="Y41" s="92"/>
      <c r="Z41" s="92"/>
      <c r="AA41" s="93"/>
    </row>
    <row r="42" spans="2:27" ht="17.25" customHeight="1" x14ac:dyDescent="0.15">
      <c r="B42" s="165" t="s">
        <v>167</v>
      </c>
      <c r="C42" s="166"/>
      <c r="D42" s="164"/>
      <c r="E42" s="65" t="str">
        <f>V37</f>
        <v>　M33</v>
      </c>
      <c r="F42" s="46" t="s">
        <v>46</v>
      </c>
      <c r="G42" s="66">
        <f>V38</f>
        <v>1000</v>
      </c>
      <c r="H42" s="20"/>
      <c r="I42" s="66"/>
      <c r="J42" s="59">
        <f>V39</f>
        <v>6.71</v>
      </c>
      <c r="K42" s="103" t="s">
        <v>95</v>
      </c>
      <c r="L42" s="65">
        <v>6</v>
      </c>
      <c r="M42" s="61">
        <f>ROUND(J42*L42,2)</f>
        <v>40.26</v>
      </c>
      <c r="N42" s="49"/>
      <c r="O42" s="38" t="s">
        <v>96</v>
      </c>
      <c r="P42" s="53" t="s">
        <v>97</v>
      </c>
      <c r="Q42" s="54" t="s">
        <v>98</v>
      </c>
      <c r="R42" s="54" t="s">
        <v>99</v>
      </c>
      <c r="S42" s="54" t="s">
        <v>99</v>
      </c>
      <c r="T42" s="54" t="s">
        <v>100</v>
      </c>
      <c r="U42" s="8"/>
      <c r="V42" s="44" t="str">
        <f>HLOOKUP(P1,P4:U42,39)</f>
        <v>M33</v>
      </c>
      <c r="W42" s="8"/>
      <c r="X42" s="100"/>
      <c r="Y42" s="92"/>
      <c r="Z42" s="92"/>
      <c r="AA42" s="93"/>
    </row>
    <row r="43" spans="2:27" ht="17.25" customHeight="1" x14ac:dyDescent="0.15">
      <c r="B43" s="165" t="s">
        <v>168</v>
      </c>
      <c r="C43" s="166"/>
      <c r="D43" s="164"/>
      <c r="E43" s="65">
        <v>75</v>
      </c>
      <c r="F43" s="46" t="s">
        <v>46</v>
      </c>
      <c r="G43" s="66">
        <v>6</v>
      </c>
      <c r="H43" s="46" t="s">
        <v>46</v>
      </c>
      <c r="I43" s="66">
        <f>V40</f>
        <v>525</v>
      </c>
      <c r="J43" s="59">
        <f>V41</f>
        <v>1.85</v>
      </c>
      <c r="K43" s="103" t="s">
        <v>102</v>
      </c>
      <c r="L43" s="65">
        <v>8</v>
      </c>
      <c r="M43" s="61">
        <f t="shared" ref="M43:M47" si="1">ROUND(J43*L43,2)</f>
        <v>14.8</v>
      </c>
      <c r="N43" s="49"/>
      <c r="O43" s="38" t="s">
        <v>87</v>
      </c>
      <c r="P43" s="105">
        <v>7.5999999999999998E-2</v>
      </c>
      <c r="Q43" s="50">
        <v>0.161</v>
      </c>
      <c r="R43" s="50">
        <v>0.28000000000000003</v>
      </c>
      <c r="S43" s="50">
        <v>0.28000000000000003</v>
      </c>
      <c r="T43" s="50">
        <v>0.38400000000000001</v>
      </c>
      <c r="U43" s="50"/>
      <c r="V43" s="50">
        <f>HLOOKUP(P1,P4:U43,40)</f>
        <v>0.28000000000000003</v>
      </c>
      <c r="W43" s="50"/>
      <c r="X43" s="16"/>
      <c r="Y43" s="92"/>
      <c r="Z43" s="92"/>
      <c r="AA43" s="93"/>
    </row>
    <row r="44" spans="2:27" ht="17.25" customHeight="1" x14ac:dyDescent="0.15">
      <c r="B44" s="165" t="s">
        <v>169</v>
      </c>
      <c r="C44" s="166"/>
      <c r="D44" s="164"/>
      <c r="E44" s="71" t="s">
        <v>104</v>
      </c>
      <c r="F44" s="46"/>
      <c r="G44" s="66"/>
      <c r="H44" s="47" t="str">
        <f>V42</f>
        <v>M33</v>
      </c>
      <c r="I44" s="66"/>
      <c r="J44" s="106">
        <f>V43</f>
        <v>0.28000000000000003</v>
      </c>
      <c r="K44" s="103" t="s">
        <v>105</v>
      </c>
      <c r="L44" s="65">
        <v>12</v>
      </c>
      <c r="M44" s="61">
        <f t="shared" si="1"/>
        <v>3.36</v>
      </c>
      <c r="N44" s="49"/>
      <c r="O44" s="38" t="s">
        <v>106</v>
      </c>
      <c r="P44" s="105">
        <v>2.7E-2</v>
      </c>
      <c r="Q44" s="50">
        <v>4.7E-2</v>
      </c>
      <c r="R44" s="50">
        <v>8.5000000000000006E-2</v>
      </c>
      <c r="S44" s="50">
        <v>8.5000000000000006E-2</v>
      </c>
      <c r="T44" s="50">
        <v>0.105</v>
      </c>
      <c r="U44" s="50"/>
      <c r="V44" s="50">
        <f>HLOOKUP(P1,P4:U44,41)</f>
        <v>8.5000000000000006E-2</v>
      </c>
      <c r="W44" s="50"/>
      <c r="X44" s="16"/>
      <c r="Y44" s="92"/>
      <c r="Z44" s="92"/>
      <c r="AA44" s="93"/>
    </row>
    <row r="45" spans="2:27" ht="17.25" customHeight="1" x14ac:dyDescent="0.15">
      <c r="B45" s="165" t="s">
        <v>215</v>
      </c>
      <c r="C45" s="166"/>
      <c r="D45" s="164"/>
      <c r="E45" s="71" t="s">
        <v>104</v>
      </c>
      <c r="F45" s="148"/>
      <c r="G45" s="148"/>
      <c r="H45" s="66" t="str">
        <f>V42</f>
        <v>M33</v>
      </c>
      <c r="I45" s="148"/>
      <c r="J45" s="106">
        <f>V48</f>
        <v>0.28699999999999998</v>
      </c>
      <c r="K45" s="103" t="s">
        <v>105</v>
      </c>
      <c r="L45" s="65">
        <v>6</v>
      </c>
      <c r="M45" s="61">
        <f t="shared" si="1"/>
        <v>1.72</v>
      </c>
      <c r="N45" s="49"/>
      <c r="P45" s="107" t="s">
        <v>107</v>
      </c>
      <c r="Q45" s="108" t="s">
        <v>108</v>
      </c>
      <c r="R45" s="108" t="s">
        <v>109</v>
      </c>
      <c r="S45" s="108" t="s">
        <v>109</v>
      </c>
      <c r="T45" s="108" t="s">
        <v>110</v>
      </c>
      <c r="U45" s="8"/>
      <c r="V45" s="55" t="str">
        <f>HLOOKUP(P1,P4:U45,42)</f>
        <v>(6-M33×1000)</v>
      </c>
      <c r="W45" s="8"/>
      <c r="X45" s="16"/>
    </row>
    <row r="46" spans="2:27" ht="17.25" customHeight="1" x14ac:dyDescent="0.15">
      <c r="B46" s="163" t="s">
        <v>216</v>
      </c>
      <c r="C46" s="166"/>
      <c r="D46" s="164"/>
      <c r="E46" s="65" t="str">
        <f>V37</f>
        <v>　M33</v>
      </c>
      <c r="F46" s="154"/>
      <c r="G46" s="69"/>
      <c r="H46" s="154"/>
      <c r="I46" s="69"/>
      <c r="J46" s="155">
        <f>V44</f>
        <v>8.5000000000000006E-2</v>
      </c>
      <c r="K46" s="156" t="s">
        <v>102</v>
      </c>
      <c r="L46" s="153">
        <v>6</v>
      </c>
      <c r="M46" s="61">
        <f t="shared" si="1"/>
        <v>0.51</v>
      </c>
      <c r="N46" s="49"/>
    </row>
    <row r="47" spans="2:27" ht="17.25" customHeight="1" x14ac:dyDescent="0.15">
      <c r="B47" s="177" t="s">
        <v>217</v>
      </c>
      <c r="C47" s="178"/>
      <c r="D47" s="179"/>
      <c r="E47" s="65" t="str">
        <f>V37</f>
        <v>　M33</v>
      </c>
      <c r="J47" s="155">
        <f>V49</f>
        <v>8.1000000000000003E-2</v>
      </c>
      <c r="K47" s="156" t="s">
        <v>102</v>
      </c>
      <c r="L47" s="153">
        <v>6</v>
      </c>
      <c r="M47" s="61">
        <f t="shared" si="1"/>
        <v>0.49</v>
      </c>
      <c r="O47" s="1" t="s">
        <v>111</v>
      </c>
      <c r="P47" s="1">
        <v>55.82</v>
      </c>
      <c r="Q47" s="1">
        <v>59.63</v>
      </c>
      <c r="R47" s="1">
        <v>61.62</v>
      </c>
      <c r="S47" s="1">
        <v>81.180000000000007</v>
      </c>
      <c r="T47" s="1">
        <v>90.5</v>
      </c>
      <c r="V47" s="68">
        <f>HLOOKUP(P1,P4:U47,44)</f>
        <v>61.62</v>
      </c>
    </row>
    <row r="48" spans="2:27" ht="17.25" customHeight="1" x14ac:dyDescent="0.15">
      <c r="B48" s="157"/>
      <c r="C48" s="154"/>
      <c r="D48" s="154"/>
      <c r="E48" s="69"/>
      <c r="F48" s="154"/>
      <c r="G48" s="69"/>
      <c r="H48" s="154"/>
      <c r="I48" s="69"/>
      <c r="J48" s="158"/>
      <c r="K48" s="158"/>
      <c r="L48" s="69"/>
      <c r="M48" s="159">
        <f>SUM(M42:M47)</f>
        <v>61.14</v>
      </c>
      <c r="O48" s="151" t="s">
        <v>218</v>
      </c>
      <c r="P48" s="1">
        <v>7.3999999999999996E-2</v>
      </c>
      <c r="Q48" s="1">
        <v>0.159</v>
      </c>
      <c r="R48" s="1">
        <v>0.28699999999999998</v>
      </c>
      <c r="S48" s="1">
        <v>0.28699999999999998</v>
      </c>
      <c r="T48" s="1">
        <v>0.39300000000000002</v>
      </c>
      <c r="V48" s="55">
        <f>HLOOKUP(P1,P4:U48,45)</f>
        <v>0.28699999999999998</v>
      </c>
    </row>
    <row r="49" spans="3:25" ht="17.25" customHeight="1" x14ac:dyDescent="0.15">
      <c r="O49" s="151" t="s">
        <v>219</v>
      </c>
      <c r="P49" s="1">
        <v>1.9E-2</v>
      </c>
      <c r="Q49" s="1">
        <v>4.4999999999999998E-2</v>
      </c>
      <c r="R49" s="1">
        <v>8.1000000000000003E-2</v>
      </c>
      <c r="S49" s="1">
        <v>8.1000000000000003E-2</v>
      </c>
      <c r="T49" s="1">
        <v>0.10299999999999999</v>
      </c>
      <c r="V49" s="55">
        <f>HLOOKUP(P1,P4:U49,46)</f>
        <v>8.1000000000000003E-2</v>
      </c>
    </row>
    <row r="50" spans="3:25" ht="17.25" customHeight="1" x14ac:dyDescent="0.15">
      <c r="C50" s="109" t="s">
        <v>112</v>
      </c>
      <c r="D50" s="110" t="s">
        <v>113</v>
      </c>
      <c r="E50" s="167" t="s">
        <v>114</v>
      </c>
      <c r="F50" s="168"/>
      <c r="G50" s="168"/>
      <c r="H50" s="169"/>
      <c r="I50" s="111" t="s">
        <v>115</v>
      </c>
      <c r="J50" s="180" t="s">
        <v>116</v>
      </c>
      <c r="K50" s="181"/>
      <c r="R50" s="38" t="s">
        <v>117</v>
      </c>
      <c r="S50" s="8"/>
      <c r="T50" s="8"/>
      <c r="U50" s="8"/>
      <c r="V50" s="8"/>
    </row>
    <row r="51" spans="3:25" ht="17.25" customHeight="1" x14ac:dyDescent="0.15">
      <c r="C51" s="112">
        <f>E15</f>
        <v>318.5</v>
      </c>
      <c r="D51" s="113" t="str">
        <f>HLOOKUP(E15,P74:T76,2)</f>
        <v>M33*1000</v>
      </c>
      <c r="E51" s="161" t="str">
        <f>HLOOKUP(P77,P74:V76,3)</f>
        <v>1.2*1.2*2.5</v>
      </c>
      <c r="F51" s="162"/>
      <c r="G51" s="162"/>
      <c r="H51" s="111"/>
      <c r="I51" s="146">
        <f>ROUND(IF(D4="","",D4/0.3+1+0.49),0)*4</f>
        <v>32</v>
      </c>
      <c r="J51" s="147">
        <f>D4-0.02</f>
        <v>1.98</v>
      </c>
      <c r="K51" s="111" t="s">
        <v>214</v>
      </c>
      <c r="S51" s="114" t="s">
        <v>118</v>
      </c>
      <c r="T51" s="8"/>
      <c r="U51" s="114" t="s">
        <v>119</v>
      </c>
      <c r="V51" s="8"/>
      <c r="W51" s="16"/>
    </row>
    <row r="52" spans="3:25" ht="17.25" customHeight="1" x14ac:dyDescent="0.15">
      <c r="S52" s="114" t="s">
        <v>120</v>
      </c>
      <c r="T52" s="8"/>
      <c r="U52" s="99">
        <f>V30</f>
        <v>339</v>
      </c>
      <c r="V52" s="9" t="s">
        <v>121</v>
      </c>
      <c r="W52" s="16"/>
    </row>
    <row r="53" spans="3:25" ht="17.25" customHeight="1" x14ac:dyDescent="0.15">
      <c r="E53" s="160" t="s">
        <v>186</v>
      </c>
      <c r="F53" s="160"/>
      <c r="G53" s="160"/>
      <c r="H53" s="160"/>
      <c r="I53" s="160" t="s">
        <v>192</v>
      </c>
      <c r="J53" s="160"/>
      <c r="K53" s="160"/>
      <c r="S53" s="114" t="s">
        <v>122</v>
      </c>
      <c r="T53" s="8"/>
      <c r="U53" s="99">
        <f>IF(X53&gt;10,X53,Y53)</f>
        <v>17.8</v>
      </c>
      <c r="V53" s="9" t="s">
        <v>123</v>
      </c>
      <c r="W53" s="16"/>
      <c r="X53" s="2">
        <f>ROUND(0.02466*V7*(V6-V7),1)</f>
        <v>17.8</v>
      </c>
      <c r="Y53" s="92">
        <f>ROUND(0.02466*V7*(V6-V7),2)</f>
        <v>17.829999999999998</v>
      </c>
    </row>
    <row r="54" spans="3:25" ht="17.25" customHeight="1" x14ac:dyDescent="0.15">
      <c r="E54" s="160"/>
      <c r="F54" s="160"/>
      <c r="G54" s="160"/>
      <c r="H54" s="160"/>
      <c r="I54" s="138" t="s">
        <v>193</v>
      </c>
      <c r="J54" s="138" t="s">
        <v>194</v>
      </c>
      <c r="K54" s="138" t="s">
        <v>195</v>
      </c>
      <c r="S54" s="114" t="s">
        <v>124</v>
      </c>
      <c r="T54" s="8"/>
      <c r="U54" s="99">
        <f>IF(X54&gt;10,X54,Y54)</f>
        <v>12.2</v>
      </c>
      <c r="V54" s="9" t="s">
        <v>123</v>
      </c>
      <c r="W54" s="16"/>
      <c r="X54" s="2">
        <f>ROUND(0.02466*V9*(V8-V9),1)</f>
        <v>12.2</v>
      </c>
      <c r="Y54" s="92">
        <f>ROUND(0.02466*V9*(V8-V9),2)</f>
        <v>12.18</v>
      </c>
    </row>
    <row r="55" spans="3:25" ht="17.25" customHeight="1" x14ac:dyDescent="0.15">
      <c r="E55" s="172" t="str">
        <f>HLOOKUP(P77,P74:V81,5)</f>
        <v>1.2*4.1*1.0</v>
      </c>
      <c r="F55" s="172"/>
      <c r="G55" s="172"/>
      <c r="H55" s="172"/>
      <c r="I55" s="138">
        <f>HLOOKUP(P77,P74:V81,6)</f>
        <v>4</v>
      </c>
      <c r="J55" s="138">
        <f>HLOOKUP(P77,P74:V81,7)</f>
        <v>487.5</v>
      </c>
      <c r="K55" s="138">
        <f>HLOOKUP(P77,P74:V81,8)</f>
        <v>8</v>
      </c>
      <c r="S55" s="114" t="s">
        <v>125</v>
      </c>
      <c r="T55" s="8"/>
      <c r="U55" s="99">
        <f>IF(X55&gt;10,X55,Y55)</f>
        <v>53</v>
      </c>
      <c r="V55" s="9" t="s">
        <v>123</v>
      </c>
      <c r="W55" s="16"/>
      <c r="X55" s="2">
        <f>ROUND(0.02466*V5*(V4-V5),1)</f>
        <v>53</v>
      </c>
      <c r="Y55" s="92">
        <f>ROUND(0.02466*V5*(V4-V5),2)</f>
        <v>53.02</v>
      </c>
    </row>
    <row r="56" spans="3:25" ht="17.25" customHeight="1" x14ac:dyDescent="0.15">
      <c r="S56" s="114" t="s">
        <v>1</v>
      </c>
      <c r="T56" s="8"/>
      <c r="U56" s="115" t="s">
        <v>1</v>
      </c>
      <c r="V56" s="9" t="s">
        <v>1</v>
      </c>
      <c r="W56" s="16"/>
    </row>
    <row r="57" spans="3:25" ht="17.25" customHeight="1" x14ac:dyDescent="0.15">
      <c r="S57" s="114" t="s">
        <v>47</v>
      </c>
      <c r="T57" s="8"/>
      <c r="U57" s="114" t="s">
        <v>1</v>
      </c>
      <c r="V57" s="9" t="s">
        <v>1</v>
      </c>
      <c r="W57" s="16"/>
    </row>
    <row r="58" spans="3:25" ht="17.25" customHeight="1" x14ac:dyDescent="0.15"/>
    <row r="59" spans="3:25" ht="17.25" customHeight="1" x14ac:dyDescent="0.15"/>
    <row r="60" spans="3:25" ht="17.25" customHeight="1" x14ac:dyDescent="0.15">
      <c r="P60" s="116">
        <v>216.3</v>
      </c>
      <c r="Q60" s="117">
        <v>267.39999999999998</v>
      </c>
      <c r="R60" s="117">
        <v>318.5</v>
      </c>
      <c r="S60" s="117">
        <v>355.6</v>
      </c>
      <c r="T60" s="118">
        <v>406.4</v>
      </c>
    </row>
    <row r="61" spans="3:25" ht="17.25" customHeight="1" x14ac:dyDescent="0.15">
      <c r="O61" s="1" t="s">
        <v>126</v>
      </c>
      <c r="P61" s="1">
        <f>5000+(I5+D6+D4/2)*1000+200+I6*1000</f>
        <v>7000</v>
      </c>
      <c r="Q61" s="1">
        <f>5000+(I5+D6+D4/2)*1000+200+I6*1000</f>
        <v>7000</v>
      </c>
      <c r="R61" s="1">
        <f>5000+(I5+D6+D4/2)*1000+250+I6*1000</f>
        <v>7050</v>
      </c>
      <c r="S61" s="1">
        <f>5000+(I5+D6+D4/2)*1000+250+I6*1000</f>
        <v>7050</v>
      </c>
      <c r="T61" s="1">
        <f>5000+(I5+D6+D4/2)*1000+300+I6*1000</f>
        <v>7100</v>
      </c>
    </row>
    <row r="63" spans="3:25" x14ac:dyDescent="0.15">
      <c r="P63" s="116">
        <v>216.3</v>
      </c>
      <c r="Q63" s="117">
        <v>267.39999999999998</v>
      </c>
      <c r="R63" s="117">
        <v>318.5</v>
      </c>
      <c r="S63" s="117">
        <v>355.6</v>
      </c>
      <c r="T63" s="118">
        <v>406.4</v>
      </c>
    </row>
    <row r="64" spans="3:25" x14ac:dyDescent="0.15">
      <c r="O64" s="1" t="s">
        <v>127</v>
      </c>
      <c r="P64" s="1">
        <f>D5*1000+1000-150+190</f>
        <v>4040</v>
      </c>
      <c r="Q64" s="1">
        <f>D5*1000+1000-150+230</f>
        <v>4080</v>
      </c>
      <c r="R64" s="1">
        <f>D5*1000+1000-150+270</f>
        <v>4120</v>
      </c>
      <c r="S64" s="1">
        <f>D5*1000+1000-150+300</f>
        <v>4150</v>
      </c>
      <c r="T64" s="1">
        <f>D5*1000+1000-150+340</f>
        <v>4190</v>
      </c>
    </row>
    <row r="66" spans="15:24" x14ac:dyDescent="0.15">
      <c r="P66" s="116">
        <v>216.3</v>
      </c>
      <c r="Q66" s="117">
        <v>267.39999999999998</v>
      </c>
      <c r="R66" s="117">
        <v>318.5</v>
      </c>
      <c r="S66" s="117">
        <v>355.6</v>
      </c>
      <c r="T66" s="118">
        <v>406.4</v>
      </c>
    </row>
    <row r="67" spans="15:24" x14ac:dyDescent="0.15">
      <c r="O67" s="1" t="s">
        <v>128</v>
      </c>
      <c r="P67" s="1">
        <v>83</v>
      </c>
      <c r="Q67" s="1">
        <v>74</v>
      </c>
      <c r="R67" s="1">
        <v>87</v>
      </c>
      <c r="S67" s="1">
        <v>95</v>
      </c>
      <c r="T67" s="1">
        <v>82</v>
      </c>
    </row>
    <row r="69" spans="15:24" x14ac:dyDescent="0.15">
      <c r="P69" s="116">
        <v>216.3</v>
      </c>
      <c r="Q69" s="117">
        <v>267.39999999999998</v>
      </c>
      <c r="R69" s="117">
        <v>318.5</v>
      </c>
      <c r="S69" s="117">
        <v>355.6</v>
      </c>
      <c r="T69" s="118">
        <v>406.4</v>
      </c>
    </row>
    <row r="70" spans="15:24" x14ac:dyDescent="0.15">
      <c r="O70" s="1" t="s">
        <v>129</v>
      </c>
      <c r="P70" s="119">
        <v>28</v>
      </c>
      <c r="Q70" s="1">
        <v>38</v>
      </c>
      <c r="R70" s="1">
        <v>55</v>
      </c>
      <c r="S70" s="1">
        <v>57</v>
      </c>
      <c r="T70" s="119">
        <v>66</v>
      </c>
    </row>
    <row r="72" spans="15:24" x14ac:dyDescent="0.15">
      <c r="O72" s="1" t="s">
        <v>130</v>
      </c>
      <c r="P72" s="116">
        <v>216.3</v>
      </c>
      <c r="Q72" s="117">
        <v>267.39999999999998</v>
      </c>
      <c r="R72" s="117">
        <v>318.5</v>
      </c>
      <c r="S72" s="117">
        <v>355.6</v>
      </c>
      <c r="T72" s="118">
        <v>406.4</v>
      </c>
    </row>
    <row r="73" spans="15:24" x14ac:dyDescent="0.15">
      <c r="P73" s="119">
        <v>60.8</v>
      </c>
      <c r="Q73" s="1">
        <v>70.83</v>
      </c>
      <c r="R73" s="1">
        <v>88.43</v>
      </c>
      <c r="S73" s="1">
        <v>108.56</v>
      </c>
      <c r="T73" s="119">
        <v>148.22999999999999</v>
      </c>
    </row>
    <row r="74" spans="15:24" x14ac:dyDescent="0.15">
      <c r="P74" s="116">
        <v>216.3</v>
      </c>
      <c r="Q74" s="117">
        <v>267.39999999999998</v>
      </c>
      <c r="R74" s="117">
        <v>318.5</v>
      </c>
      <c r="S74" s="117">
        <v>355.6</v>
      </c>
      <c r="T74" s="118">
        <v>406.4</v>
      </c>
      <c r="U74" s="134">
        <v>406.42</v>
      </c>
      <c r="V74" s="134">
        <v>406.43</v>
      </c>
    </row>
    <row r="75" spans="15:24" x14ac:dyDescent="0.15">
      <c r="P75" s="1" t="s">
        <v>131</v>
      </c>
      <c r="Q75" s="1" t="s">
        <v>132</v>
      </c>
      <c r="R75" s="1" t="s">
        <v>133</v>
      </c>
      <c r="S75" s="1" t="s">
        <v>133</v>
      </c>
      <c r="T75" s="1" t="s">
        <v>134</v>
      </c>
    </row>
    <row r="76" spans="15:24" x14ac:dyDescent="0.15">
      <c r="P76" s="119" t="s">
        <v>135</v>
      </c>
      <c r="Q76" s="1" t="s">
        <v>136</v>
      </c>
      <c r="R76" s="120" t="s">
        <v>137</v>
      </c>
      <c r="S76" s="1" t="s">
        <v>138</v>
      </c>
      <c r="T76" s="1" t="s">
        <v>139</v>
      </c>
      <c r="U76" s="1" t="s">
        <v>140</v>
      </c>
      <c r="V76" s="1" t="s">
        <v>141</v>
      </c>
    </row>
    <row r="77" spans="15:24" x14ac:dyDescent="0.15">
      <c r="P77" s="92">
        <f>IF(D7&lt;=3.5,216.3,Q77)</f>
        <v>318.5</v>
      </c>
      <c r="Q77" s="3">
        <f>IF(D7&lt;=4.5,267.4,R77)</f>
        <v>318.5</v>
      </c>
      <c r="R77" s="3">
        <f>IF(D7&lt;=5.5,IF(D8&lt;2,267.4,318.5),S77)</f>
        <v>318.5</v>
      </c>
      <c r="S77" s="3">
        <f>IF(D7&lt;=7,318.5,T77)</f>
        <v>318.5</v>
      </c>
      <c r="T77" s="3">
        <f>IF(D7&lt;=8,IF(D8&lt;1.5,318.5,355.6),U77)</f>
        <v>355.6</v>
      </c>
      <c r="U77" s="3">
        <f>IF(D7&lt;=9.5,355.6,V77)</f>
        <v>355.6</v>
      </c>
      <c r="V77" s="3">
        <f>IF(D7&lt;=11,406.4,W77)</f>
        <v>406.4</v>
      </c>
      <c r="W77" s="3">
        <f>IF(D7&lt;=12.5,406.42,X77)</f>
        <v>406.42</v>
      </c>
      <c r="X77" s="3">
        <f>IF(D7&lt;=14,406.43,508)</f>
        <v>406.43</v>
      </c>
    </row>
    <row r="78" spans="15:24" x14ac:dyDescent="0.15">
      <c r="P78" s="1" t="s">
        <v>197</v>
      </c>
      <c r="Q78" s="1" t="s">
        <v>198</v>
      </c>
      <c r="R78" s="1" t="s">
        <v>199</v>
      </c>
      <c r="S78" s="1" t="s">
        <v>200</v>
      </c>
      <c r="T78" s="1" t="s">
        <v>201</v>
      </c>
      <c r="U78" s="1" t="s">
        <v>202</v>
      </c>
      <c r="V78" s="1" t="s">
        <v>203</v>
      </c>
    </row>
    <row r="79" spans="15:24" x14ac:dyDescent="0.15">
      <c r="P79" s="1">
        <v>3</v>
      </c>
      <c r="Q79" s="1">
        <v>3</v>
      </c>
      <c r="R79" s="1">
        <v>4</v>
      </c>
      <c r="S79" s="1">
        <v>4</v>
      </c>
      <c r="T79" s="1">
        <v>4</v>
      </c>
      <c r="U79" s="1">
        <v>5</v>
      </c>
      <c r="V79" s="1">
        <v>5</v>
      </c>
    </row>
    <row r="80" spans="15:24" x14ac:dyDescent="0.15">
      <c r="P80" s="1">
        <v>540</v>
      </c>
      <c r="Q80" s="1">
        <v>516.70000000000005</v>
      </c>
      <c r="R80" s="1">
        <v>487.5</v>
      </c>
      <c r="S80" s="1">
        <v>512.5</v>
      </c>
      <c r="T80" s="1">
        <v>533</v>
      </c>
      <c r="U80" s="1">
        <v>540</v>
      </c>
      <c r="V80" s="1">
        <v>508</v>
      </c>
    </row>
    <row r="81" spans="16:22" x14ac:dyDescent="0.15">
      <c r="P81" s="1">
        <v>5</v>
      </c>
      <c r="Q81" s="1">
        <v>6</v>
      </c>
      <c r="R81" s="1">
        <v>8</v>
      </c>
      <c r="S81" s="1">
        <v>8</v>
      </c>
      <c r="T81" s="1">
        <v>9</v>
      </c>
      <c r="U81" s="1">
        <v>10</v>
      </c>
      <c r="V81" s="1">
        <v>12</v>
      </c>
    </row>
  </sheetData>
  <sheetProtection password="CF7A" sheet="1" objects="1" scenarios="1" selectLockedCells="1"/>
  <mergeCells count="36">
    <mergeCell ref="B15:C15"/>
    <mergeCell ref="D3:E3"/>
    <mergeCell ref="G9:H9"/>
    <mergeCell ref="G10:H10"/>
    <mergeCell ref="G11:H11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1:D41"/>
    <mergeCell ref="B42:D42"/>
    <mergeCell ref="B43:D43"/>
    <mergeCell ref="B44:D44"/>
    <mergeCell ref="B46:D46"/>
    <mergeCell ref="B45:D45"/>
    <mergeCell ref="B28:C28"/>
    <mergeCell ref="B29:C29"/>
    <mergeCell ref="B30:C30"/>
    <mergeCell ref="B31:C31"/>
    <mergeCell ref="B32:C32"/>
    <mergeCell ref="B47:D47"/>
    <mergeCell ref="E53:H54"/>
    <mergeCell ref="I53:K53"/>
    <mergeCell ref="E55:H55"/>
    <mergeCell ref="E51:G51"/>
    <mergeCell ref="E50:H50"/>
    <mergeCell ref="J50:K50"/>
  </mergeCells>
  <phoneticPr fontId="2"/>
  <dataValidations count="2">
    <dataValidation type="decimal" allowBlank="1" showInputMessage="1" showErrorMessage="1" sqref="D4 D65540 D131076 D196612 D262148 D327684 D393220 D458756 D524292 D589828 D655364 D720900 D786436 D851972 D917508 D983044">
      <formula1>1</formula1>
      <formula2>8</formula2>
    </dataValidation>
    <dataValidation type="textLength" allowBlank="1" showInputMessage="1" showErrorMessage="1" sqref="D6:D7 D65542:D65543 D131078:D131079 D196614:D196615 D262150:D262151 D327686:D327687 D393222:D393223 D458758:D458759 D524294:D524295 D589830:D589831 D655366:D655367 D720902:D720903 D786438:D786439 D851974:D851975 D917510:D917511 D983046:D983047 F983047 N65537:AA65602 N131073:AA131138 N196609:AA196674 N262145:AA262210 N327681:AA327746 N393217:AA393282 N458753:AA458818 N524289:AA524354 N589825:AA589890 N655361:AA655426 N720897:AA720962 N786433:AA786498 N851969:AA852034 N917505:AA917570 N983041:AA983106 P77:X77 B65544:M65586 B131080:M131122 B196616:M196658 B262152:M262194 B327688:M327730 B393224:M393266 B458760:M458802 B524296:M524338 B589832:M589874 B655368:M655410 B720904:M720946 B786440:M786482 B851976:M852018 B917512:M917554 B983048:M983090 F65543 F131079 F196615 F262151 F327687 F393223 F458759 F524295 F589831 F655367 F720903 F786439 F851975 F917511 B49:B50 C50:D51 E50:G50 H50:J51 L49:M50 V50:V66 O1:O47 O50:O66 N1:N66 P36:U66 W1:AA66 K32:K41 B8:E41 F31:F41 F7:F29 I11:I30 I32:I41 V36:V47 J8:J41 L8:M41 K8:K30 V1:V33 G23:G41 I8:I9 H8:H41 G8:G18 P1:S33 U1:U33 T1:T18 T26:T33">
      <formula1>5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2"/>
  <sheetViews>
    <sheetView view="pageBreakPreview" zoomScale="70" zoomScaleNormal="60" zoomScaleSheetLayoutView="70" workbookViewId="0">
      <selection activeCell="D4" sqref="D4"/>
    </sheetView>
  </sheetViews>
  <sheetFormatPr defaultRowHeight="13.5" x14ac:dyDescent="0.15"/>
  <cols>
    <col min="1" max="1" width="4.625" style="1" customWidth="1"/>
    <col min="2" max="2" width="10.875" style="1" customWidth="1"/>
    <col min="3" max="3" width="5.875" style="1" customWidth="1"/>
    <col min="4" max="4" width="12.875" style="1" bestFit="1" customWidth="1"/>
    <col min="5" max="5" width="9.75" style="1" bestFit="1" customWidth="1"/>
    <col min="6" max="6" width="3.375" style="1" customWidth="1"/>
    <col min="7" max="7" width="8.375" style="1" customWidth="1"/>
    <col min="8" max="8" width="3.375" style="1" customWidth="1"/>
    <col min="9" max="9" width="12.375" style="1" customWidth="1"/>
    <col min="10" max="10" width="10.875" style="1" customWidth="1"/>
    <col min="11" max="11" width="10.375" style="1" bestFit="1" customWidth="1"/>
    <col min="12" max="12" width="7.125" style="1" customWidth="1"/>
    <col min="13" max="13" width="10.875" style="1" customWidth="1"/>
    <col min="14" max="26" width="10.875" style="1" hidden="1" customWidth="1"/>
    <col min="27" max="27" width="10.875" style="1" customWidth="1"/>
  </cols>
  <sheetData>
    <row r="1" spans="1:24" x14ac:dyDescent="0.15">
      <c r="P1" s="2">
        <f>IF(D7&lt;=0.7,190.7,Q1)</f>
        <v>216.3</v>
      </c>
      <c r="Q1" s="3">
        <f>IF(D7&lt;=1,190.7,R1)</f>
        <v>216.3</v>
      </c>
      <c r="R1" s="3">
        <f>IF(D7&lt;=1.7,190.7,S1)</f>
        <v>216.3</v>
      </c>
      <c r="S1" s="3">
        <f>IF(D7&lt;=2,IF(D8&lt;2.5,190.7,216.3),T1)</f>
        <v>216.3</v>
      </c>
      <c r="T1" s="3">
        <f>IF(D7&lt;=2.5,IF(D8&lt;4,216.3,267.4),U1)</f>
        <v>216.3</v>
      </c>
      <c r="U1" s="3">
        <f>IF(D7&lt;=3.5,267.4,V1)</f>
        <v>267.39999999999998</v>
      </c>
      <c r="V1" s="3"/>
    </row>
    <row r="2" spans="1:24" ht="17.25" x14ac:dyDescent="0.2">
      <c r="B2" s="4"/>
      <c r="C2" s="5"/>
      <c r="D2" s="4" t="s">
        <v>185</v>
      </c>
      <c r="E2" s="5"/>
      <c r="F2" s="5"/>
      <c r="G2" s="5"/>
      <c r="H2" s="5"/>
      <c r="I2" s="5"/>
      <c r="J2" s="4" t="s">
        <v>182</v>
      </c>
      <c r="K2" s="6"/>
      <c r="L2" s="5"/>
      <c r="M2" s="135"/>
      <c r="P2" s="2">
        <f>IF(D7&lt;=0.7,101.6,Q2)</f>
        <v>165.2</v>
      </c>
      <c r="Q2" s="3">
        <f>IF(D7&lt;=1,114.3,R2)</f>
        <v>165.2</v>
      </c>
      <c r="R2" s="3">
        <f>IF(D7&lt;=1.7,139.8,S2)</f>
        <v>165.2</v>
      </c>
      <c r="S2" s="3">
        <f>IF(D7&lt;=2,IF(D8&lt;2.5,139.8,165.2),T2)</f>
        <v>165.2</v>
      </c>
      <c r="T2" s="3">
        <f>IF(D7&lt;=2.5,IF(D8&lt;4,165.2,190.7),U2)</f>
        <v>165.2</v>
      </c>
      <c r="U2" s="3">
        <f>IF(D7&lt;=3.5,267.4,V2)</f>
        <v>267.39999999999998</v>
      </c>
      <c r="V2" s="3"/>
    </row>
    <row r="3" spans="1:24" ht="17.25" x14ac:dyDescent="0.2">
      <c r="B3" s="10"/>
      <c r="C3" s="10"/>
      <c r="D3" s="173" t="s">
        <v>142</v>
      </c>
      <c r="E3" s="174"/>
      <c r="F3" s="10"/>
      <c r="G3" s="10"/>
      <c r="H3" s="10"/>
      <c r="I3" s="11"/>
      <c r="J3" s="5"/>
      <c r="K3" s="6"/>
      <c r="L3" s="5"/>
      <c r="M3" s="135"/>
      <c r="P3" s="24">
        <v>101.6</v>
      </c>
      <c r="Q3" s="7">
        <v>114.3</v>
      </c>
      <c r="R3" s="7">
        <v>139.80000000000001</v>
      </c>
      <c r="S3" s="7">
        <v>165.2</v>
      </c>
      <c r="T3" s="7">
        <v>190.7</v>
      </c>
      <c r="U3" s="14" t="s">
        <v>1</v>
      </c>
      <c r="V3" s="14" t="s">
        <v>1</v>
      </c>
      <c r="W3" s="15"/>
      <c r="X3" s="16"/>
    </row>
    <row r="4" spans="1:24" ht="17.25" x14ac:dyDescent="0.2">
      <c r="B4" s="17" t="s">
        <v>3</v>
      </c>
      <c r="C4" s="18"/>
      <c r="D4" s="137">
        <v>1.2</v>
      </c>
      <c r="E4" s="19" t="s">
        <v>4</v>
      </c>
      <c r="F4" s="20"/>
      <c r="G4" s="20"/>
      <c r="H4" s="21"/>
      <c r="I4" s="136">
        <v>5</v>
      </c>
      <c r="J4" s="22" t="s">
        <v>1</v>
      </c>
      <c r="K4" s="6"/>
      <c r="L4" s="5"/>
      <c r="M4" s="5"/>
      <c r="O4" s="23" t="s">
        <v>5</v>
      </c>
      <c r="P4" s="24">
        <v>190.7</v>
      </c>
      <c r="Q4" s="7">
        <v>190.7</v>
      </c>
      <c r="R4" s="7">
        <v>190.7</v>
      </c>
      <c r="S4" s="7">
        <v>216.3</v>
      </c>
      <c r="T4" s="7">
        <v>267.39999999999998</v>
      </c>
      <c r="U4" s="8">
        <v>355.6</v>
      </c>
      <c r="V4" s="7">
        <f>HLOOKUP(P2,P3:U4,2)</f>
        <v>216.3</v>
      </c>
      <c r="W4" s="25" t="s">
        <v>6</v>
      </c>
      <c r="X4" s="16"/>
    </row>
    <row r="5" spans="1:24" ht="17.25" x14ac:dyDescent="0.2">
      <c r="B5" s="17" t="s">
        <v>7</v>
      </c>
      <c r="C5" s="18"/>
      <c r="D5" s="137">
        <v>2</v>
      </c>
      <c r="E5" s="19"/>
      <c r="F5" s="20"/>
      <c r="G5" s="20"/>
      <c r="H5" s="20"/>
      <c r="I5" s="136"/>
      <c r="J5" s="26"/>
      <c r="K5" s="6"/>
      <c r="L5" s="5"/>
      <c r="M5" s="5"/>
      <c r="O5" s="23" t="s">
        <v>8</v>
      </c>
      <c r="P5" s="24">
        <v>5.3</v>
      </c>
      <c r="Q5" s="7">
        <v>5.3</v>
      </c>
      <c r="R5" s="7">
        <v>5.3</v>
      </c>
      <c r="S5" s="7">
        <v>5.8</v>
      </c>
      <c r="T5" s="7">
        <v>6.6</v>
      </c>
      <c r="U5" s="8"/>
      <c r="V5" s="7">
        <f>HLOOKUP(P2,P3:U5,3)</f>
        <v>5.8</v>
      </c>
      <c r="W5" s="25" t="s">
        <v>1</v>
      </c>
      <c r="X5" s="16"/>
    </row>
    <row r="6" spans="1:24" ht="17.25" x14ac:dyDescent="0.2">
      <c r="B6" s="17" t="s">
        <v>9</v>
      </c>
      <c r="C6" s="18"/>
      <c r="D6" s="32">
        <f>ROUNDDOWN(D4/2,3)</f>
        <v>0.6</v>
      </c>
      <c r="E6" s="28" t="s">
        <v>10</v>
      </c>
      <c r="F6" s="29" t="s">
        <v>1</v>
      </c>
      <c r="G6" s="29" t="s">
        <v>11</v>
      </c>
      <c r="H6" s="29" t="s">
        <v>1</v>
      </c>
      <c r="I6" s="145">
        <v>0.3</v>
      </c>
      <c r="J6" s="26"/>
      <c r="K6" s="6"/>
      <c r="L6" s="5"/>
      <c r="M6" s="5"/>
      <c r="O6" s="23" t="s">
        <v>12</v>
      </c>
      <c r="P6" s="24">
        <v>101.6</v>
      </c>
      <c r="Q6" s="7">
        <v>114.3</v>
      </c>
      <c r="R6" s="7">
        <v>139.80000000000001</v>
      </c>
      <c r="S6" s="7">
        <v>165.2</v>
      </c>
      <c r="T6" s="7">
        <v>190.7</v>
      </c>
      <c r="U6" s="8"/>
      <c r="V6" s="7">
        <f>HLOOKUP(P2,P3:U6,4)</f>
        <v>165.2</v>
      </c>
      <c r="W6" s="25" t="s">
        <v>13</v>
      </c>
      <c r="X6" s="16"/>
    </row>
    <row r="7" spans="1:24" ht="17.25" x14ac:dyDescent="0.2">
      <c r="A7" s="30"/>
      <c r="B7" s="17" t="s">
        <v>14</v>
      </c>
      <c r="C7" s="31" t="s">
        <v>15</v>
      </c>
      <c r="D7" s="32">
        <f>D4*D5</f>
        <v>2.4</v>
      </c>
      <c r="E7" s="33"/>
      <c r="F7" s="34" t="str">
        <f>IF(D7&gt;3.5,"標識板標準外です。入力をやり直して下さい。","")</f>
        <v/>
      </c>
      <c r="G7" s="35"/>
      <c r="H7" s="36"/>
      <c r="I7" s="36"/>
      <c r="J7" s="5"/>
      <c r="K7" s="5"/>
      <c r="L7" s="5"/>
      <c r="M7" s="5"/>
      <c r="O7" s="23" t="s">
        <v>16</v>
      </c>
      <c r="P7" s="24">
        <v>4.2</v>
      </c>
      <c r="Q7" s="7">
        <v>4.5</v>
      </c>
      <c r="R7" s="7">
        <v>4.5</v>
      </c>
      <c r="S7" s="7">
        <v>4.5</v>
      </c>
      <c r="T7" s="7">
        <v>5.3</v>
      </c>
      <c r="U7" s="8"/>
      <c r="V7" s="7">
        <f>HLOOKUP(P2,P3:U7,5)</f>
        <v>4.5</v>
      </c>
      <c r="W7" s="25" t="s">
        <v>13</v>
      </c>
      <c r="X7" s="16"/>
    </row>
    <row r="8" spans="1:24" ht="17.25" x14ac:dyDescent="0.2">
      <c r="A8" s="30"/>
      <c r="B8" s="17" t="s">
        <v>17</v>
      </c>
      <c r="C8" s="20"/>
      <c r="D8" s="32">
        <f>D5/D4</f>
        <v>1.6666666666666667</v>
      </c>
      <c r="E8" s="37"/>
      <c r="F8" s="35"/>
      <c r="G8" s="20"/>
      <c r="H8" s="20"/>
      <c r="I8" s="20"/>
      <c r="J8" s="5"/>
      <c r="K8" s="26"/>
      <c r="L8" s="26"/>
      <c r="M8" s="26"/>
      <c r="O8" s="38" t="s">
        <v>143</v>
      </c>
      <c r="P8" s="70">
        <v>4.24</v>
      </c>
      <c r="Q8" s="68">
        <v>4.03</v>
      </c>
      <c r="R8" s="68">
        <v>6.95</v>
      </c>
      <c r="S8" s="68">
        <v>11.15</v>
      </c>
      <c r="T8" s="68">
        <v>14.48</v>
      </c>
      <c r="U8" s="121"/>
      <c r="V8" s="68">
        <f>HLOOKUP(P2,P3:U8,6)</f>
        <v>11.15</v>
      </c>
      <c r="W8" s="122" t="s">
        <v>13</v>
      </c>
      <c r="X8" s="16"/>
    </row>
    <row r="9" spans="1:24" ht="17.25" x14ac:dyDescent="0.2">
      <c r="B9" s="5"/>
      <c r="C9" s="5"/>
      <c r="D9" s="5"/>
      <c r="E9" s="5"/>
      <c r="F9" s="5"/>
      <c r="G9" s="163" t="s">
        <v>19</v>
      </c>
      <c r="H9" s="164"/>
      <c r="I9" s="142">
        <f>ROUND(M38,0)</f>
        <v>350</v>
      </c>
      <c r="J9" s="40" t="s">
        <v>20</v>
      </c>
      <c r="K9" s="143"/>
      <c r="L9" s="26"/>
      <c r="M9" s="144"/>
      <c r="O9" s="23" t="s">
        <v>145</v>
      </c>
      <c r="P9" s="70">
        <v>2</v>
      </c>
      <c r="Q9" s="68">
        <v>1.9</v>
      </c>
      <c r="R9" s="68">
        <v>3.05</v>
      </c>
      <c r="S9" s="68">
        <v>2.76</v>
      </c>
      <c r="T9" s="68">
        <v>2.42</v>
      </c>
      <c r="U9" s="121"/>
      <c r="V9" s="68">
        <f>HLOOKUP(P2,P3:U9,7)</f>
        <v>2.76</v>
      </c>
      <c r="W9" s="25" t="s">
        <v>13</v>
      </c>
      <c r="X9" s="16"/>
    </row>
    <row r="10" spans="1:24" ht="17.25" x14ac:dyDescent="0.2">
      <c r="B10" s="5"/>
      <c r="C10" s="5"/>
      <c r="D10" s="5"/>
      <c r="E10" s="5"/>
      <c r="F10" s="41" t="s">
        <v>22</v>
      </c>
      <c r="G10" s="163" t="s">
        <v>23</v>
      </c>
      <c r="H10" s="164"/>
      <c r="I10" s="42">
        <f>ROUND(M50,0)</f>
        <v>28</v>
      </c>
      <c r="J10" s="40" t="s">
        <v>20</v>
      </c>
      <c r="K10" s="5"/>
      <c r="L10" s="5"/>
      <c r="M10" s="5"/>
      <c r="O10" s="23" t="s">
        <v>24</v>
      </c>
      <c r="P10" s="43">
        <v>200</v>
      </c>
      <c r="Q10" s="44">
        <v>200</v>
      </c>
      <c r="R10" s="44">
        <v>200</v>
      </c>
      <c r="S10" s="44">
        <v>250</v>
      </c>
      <c r="T10" s="44">
        <v>250</v>
      </c>
      <c r="U10" s="8"/>
      <c r="V10" s="44">
        <f>HLOOKUP(P2,P3:U10,8)</f>
        <v>250</v>
      </c>
      <c r="W10" s="25" t="s">
        <v>1</v>
      </c>
      <c r="X10" s="16"/>
    </row>
    <row r="11" spans="1:24" ht="17.25" x14ac:dyDescent="0.2">
      <c r="B11" s="5"/>
      <c r="C11" s="5"/>
      <c r="D11" s="5"/>
      <c r="E11" s="5"/>
      <c r="F11" s="5"/>
      <c r="G11" s="163" t="s">
        <v>25</v>
      </c>
      <c r="H11" s="164"/>
      <c r="I11" s="39">
        <f>I9+I10</f>
        <v>378</v>
      </c>
      <c r="J11" s="40" t="s">
        <v>20</v>
      </c>
      <c r="K11" s="5"/>
      <c r="L11" s="5"/>
      <c r="M11" s="5"/>
      <c r="O11" s="23" t="s">
        <v>26</v>
      </c>
      <c r="P11" s="43">
        <v>190</v>
      </c>
      <c r="Q11" s="44">
        <v>190</v>
      </c>
      <c r="R11" s="44">
        <v>190</v>
      </c>
      <c r="S11" s="44">
        <v>220</v>
      </c>
      <c r="T11" s="44">
        <v>260</v>
      </c>
      <c r="U11" s="8"/>
      <c r="V11" s="44">
        <f>HLOOKUP(P2,P3:U11,9)</f>
        <v>220</v>
      </c>
      <c r="W11" s="25" t="s">
        <v>1</v>
      </c>
      <c r="X11" s="16"/>
    </row>
    <row r="12" spans="1:24" ht="17.2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38" t="s">
        <v>27</v>
      </c>
      <c r="P12" s="43">
        <v>12</v>
      </c>
      <c r="Q12" s="44">
        <v>12</v>
      </c>
      <c r="R12" s="44">
        <v>16</v>
      </c>
      <c r="S12" s="44">
        <v>19</v>
      </c>
      <c r="T12" s="44">
        <v>19</v>
      </c>
      <c r="U12" s="8"/>
      <c r="V12" s="44">
        <f>HLOOKUP(P2,P3:U12,10)</f>
        <v>19</v>
      </c>
      <c r="W12" s="25" t="s">
        <v>1</v>
      </c>
      <c r="X12" s="16"/>
    </row>
    <row r="13" spans="1:24" ht="17.25" x14ac:dyDescent="0.15">
      <c r="B13" s="45"/>
      <c r="C13" s="20"/>
      <c r="D13" s="46" t="s">
        <v>28</v>
      </c>
      <c r="E13" s="47" t="str">
        <f>D2</f>
        <v>Ｆ1型標識</v>
      </c>
      <c r="F13" s="20"/>
      <c r="G13" s="20"/>
      <c r="H13" s="20"/>
      <c r="I13" s="20"/>
      <c r="J13" s="20"/>
      <c r="K13" s="20"/>
      <c r="L13" s="46" t="s">
        <v>183</v>
      </c>
      <c r="M13" s="48"/>
      <c r="N13" s="49"/>
      <c r="O13" s="38" t="s">
        <v>30</v>
      </c>
      <c r="P13" s="43">
        <v>260</v>
      </c>
      <c r="Q13" s="44">
        <v>260</v>
      </c>
      <c r="R13" s="44">
        <v>300</v>
      </c>
      <c r="S13" s="44">
        <v>350</v>
      </c>
      <c r="T13" s="44">
        <v>400</v>
      </c>
      <c r="U13" s="8"/>
      <c r="V13" s="44">
        <f>HLOOKUP(P2,P3:U13,11)</f>
        <v>350</v>
      </c>
      <c r="W13" s="50"/>
      <c r="X13" s="16"/>
    </row>
    <row r="14" spans="1:24" ht="17.25" x14ac:dyDescent="0.15">
      <c r="B14" s="163" t="s">
        <v>147</v>
      </c>
      <c r="C14" s="164"/>
      <c r="D14" s="51" t="s">
        <v>32</v>
      </c>
      <c r="E14" s="17" t="s">
        <v>33</v>
      </c>
      <c r="F14" s="20"/>
      <c r="G14" s="20"/>
      <c r="H14" s="20"/>
      <c r="I14" s="51" t="s">
        <v>34</v>
      </c>
      <c r="J14" s="17" t="s">
        <v>35</v>
      </c>
      <c r="K14" s="51" t="s">
        <v>36</v>
      </c>
      <c r="L14" s="51" t="s">
        <v>37</v>
      </c>
      <c r="M14" s="52" t="s">
        <v>38</v>
      </c>
      <c r="N14" s="49"/>
      <c r="O14" s="38" t="s">
        <v>39</v>
      </c>
      <c r="P14" s="53" t="s">
        <v>148</v>
      </c>
      <c r="Q14" s="54" t="s">
        <v>148</v>
      </c>
      <c r="R14" s="54" t="s">
        <v>149</v>
      </c>
      <c r="S14" s="54" t="s">
        <v>149</v>
      </c>
      <c r="T14" s="54" t="s">
        <v>221</v>
      </c>
      <c r="U14" s="8"/>
      <c r="V14" s="55" t="str">
        <f>HLOOKUP(P2,P3:U14,12)</f>
        <v xml:space="preserve">  M22</v>
      </c>
      <c r="W14" s="50"/>
      <c r="X14" s="16"/>
    </row>
    <row r="15" spans="1:24" ht="17.25" x14ac:dyDescent="0.2">
      <c r="B15" s="163" t="s">
        <v>44</v>
      </c>
      <c r="C15" s="164"/>
      <c r="D15" s="56" t="s">
        <v>45</v>
      </c>
      <c r="E15" s="57">
        <f>P1</f>
        <v>216.3</v>
      </c>
      <c r="F15" s="46" t="s">
        <v>46</v>
      </c>
      <c r="G15" s="21">
        <f>V5</f>
        <v>5.8</v>
      </c>
      <c r="H15" s="46" t="s">
        <v>47</v>
      </c>
      <c r="I15" s="58">
        <f>HLOOKUP(E16,P62:T63,2)</f>
        <v>6150</v>
      </c>
      <c r="J15" s="59">
        <f>U57</f>
        <v>30.1</v>
      </c>
      <c r="K15" s="59">
        <f>ROUND(J15*I15/1000,2)</f>
        <v>185.12</v>
      </c>
      <c r="L15" s="60">
        <v>1</v>
      </c>
      <c r="M15" s="61">
        <f t="shared" ref="M15:M23" si="0">ROUND(L15*K15,2)</f>
        <v>185.12</v>
      </c>
      <c r="N15" s="49"/>
      <c r="O15" s="38" t="s">
        <v>48</v>
      </c>
      <c r="P15" s="43">
        <v>22</v>
      </c>
      <c r="Q15" s="44">
        <v>22</v>
      </c>
      <c r="R15" s="44">
        <v>22</v>
      </c>
      <c r="S15" s="44">
        <v>22</v>
      </c>
      <c r="T15" s="44">
        <v>25</v>
      </c>
      <c r="U15" s="62"/>
      <c r="V15" s="55">
        <f>HLOOKUP(P2,P3:U15,13)</f>
        <v>22</v>
      </c>
      <c r="W15" s="50"/>
      <c r="X15" s="16"/>
    </row>
    <row r="16" spans="1:24" ht="17.25" x14ac:dyDescent="0.2">
      <c r="B16" s="163" t="s">
        <v>49</v>
      </c>
      <c r="C16" s="164"/>
      <c r="D16" s="51" t="s">
        <v>50</v>
      </c>
      <c r="E16" s="57">
        <f>V6</f>
        <v>165.2</v>
      </c>
      <c r="F16" s="46" t="s">
        <v>46</v>
      </c>
      <c r="G16" s="21">
        <f>V7</f>
        <v>4.5</v>
      </c>
      <c r="H16" s="46" t="s">
        <v>47</v>
      </c>
      <c r="I16" s="58">
        <f>HLOOKUP(E16,P65:T66,2)</f>
        <v>4570</v>
      </c>
      <c r="J16" s="59">
        <f>U55</f>
        <v>17.8</v>
      </c>
      <c r="K16" s="59">
        <f>ROUND(J16*I16/1000,2)</f>
        <v>81.349999999999994</v>
      </c>
      <c r="L16" s="60">
        <v>1</v>
      </c>
      <c r="M16" s="61">
        <f t="shared" si="0"/>
        <v>81.349999999999994</v>
      </c>
      <c r="N16" s="49"/>
      <c r="O16" s="38" t="s">
        <v>51</v>
      </c>
      <c r="P16" s="43">
        <v>450</v>
      </c>
      <c r="Q16" s="44">
        <v>450</v>
      </c>
      <c r="R16" s="44">
        <v>450</v>
      </c>
      <c r="S16" s="44">
        <v>450</v>
      </c>
      <c r="T16" s="44">
        <v>500</v>
      </c>
      <c r="U16" s="62"/>
      <c r="V16" s="55">
        <f>HLOOKUP(P2,P3:U16,14)</f>
        <v>450</v>
      </c>
      <c r="W16" s="50"/>
      <c r="X16" s="16"/>
    </row>
    <row r="17" spans="2:24" ht="17.25" x14ac:dyDescent="0.15">
      <c r="B17" s="163" t="s">
        <v>55</v>
      </c>
      <c r="C17" s="164"/>
      <c r="D17" s="51" t="s">
        <v>56</v>
      </c>
      <c r="E17" s="65">
        <f>V12</f>
        <v>19</v>
      </c>
      <c r="F17" s="46" t="s">
        <v>46</v>
      </c>
      <c r="G17" s="66">
        <f>V13</f>
        <v>350</v>
      </c>
      <c r="H17" s="46" t="s">
        <v>57</v>
      </c>
      <c r="I17" s="67" t="s">
        <v>47</v>
      </c>
      <c r="J17" s="57">
        <f>ROUND(7850*E17/1000,1)</f>
        <v>149.19999999999999</v>
      </c>
      <c r="K17" s="59">
        <f>V8</f>
        <v>11.15</v>
      </c>
      <c r="L17" s="65">
        <v>2</v>
      </c>
      <c r="M17" s="61">
        <f t="shared" si="0"/>
        <v>22.3</v>
      </c>
      <c r="N17" s="49"/>
      <c r="O17" s="38" t="s">
        <v>23</v>
      </c>
      <c r="P17" s="53" t="s">
        <v>82</v>
      </c>
      <c r="Q17" s="54" t="s">
        <v>151</v>
      </c>
      <c r="R17" s="54" t="s">
        <v>152</v>
      </c>
      <c r="S17" s="54" t="s">
        <v>83</v>
      </c>
      <c r="T17" s="54" t="s">
        <v>83</v>
      </c>
      <c r="U17" s="44"/>
      <c r="V17" s="44" t="str">
        <f>HLOOKUP(P2,P3:U17,15)</f>
        <v>　M27</v>
      </c>
      <c r="W17" s="8"/>
      <c r="X17" s="16"/>
    </row>
    <row r="18" spans="2:24" ht="17.25" x14ac:dyDescent="0.15">
      <c r="B18" s="163" t="s">
        <v>59</v>
      </c>
      <c r="C18" s="164"/>
      <c r="D18" s="51" t="s">
        <v>50</v>
      </c>
      <c r="E18" s="65">
        <v>12</v>
      </c>
      <c r="F18" s="46" t="s">
        <v>46</v>
      </c>
      <c r="G18" s="66">
        <f>IF(E14=406.4,95,ROUND((G17-E16)/2-10,0))</f>
        <v>82</v>
      </c>
      <c r="H18" s="18"/>
      <c r="I18" s="65">
        <f>V19</f>
        <v>150</v>
      </c>
      <c r="J18" s="57">
        <v>94.2</v>
      </c>
      <c r="K18" s="59">
        <f>V23</f>
        <v>0.71</v>
      </c>
      <c r="L18" s="65">
        <v>6</v>
      </c>
      <c r="M18" s="61">
        <f t="shared" si="0"/>
        <v>4.26</v>
      </c>
      <c r="N18" s="49"/>
      <c r="O18" s="38" t="s">
        <v>58</v>
      </c>
      <c r="P18" s="43">
        <v>160</v>
      </c>
      <c r="Q18" s="44">
        <v>160</v>
      </c>
      <c r="R18" s="44">
        <v>200</v>
      </c>
      <c r="S18" s="44">
        <v>200</v>
      </c>
      <c r="T18" s="44">
        <v>200</v>
      </c>
      <c r="U18" s="44"/>
      <c r="V18" s="44">
        <f>HLOOKUP(P2,P3:U18,16)</f>
        <v>200</v>
      </c>
      <c r="W18" s="8"/>
      <c r="X18" s="16"/>
    </row>
    <row r="19" spans="2:24" ht="17.25" x14ac:dyDescent="0.15">
      <c r="B19" s="163" t="s">
        <v>61</v>
      </c>
      <c r="C19" s="164"/>
      <c r="D19" s="51" t="s">
        <v>50</v>
      </c>
      <c r="E19" s="65">
        <v>12</v>
      </c>
      <c r="F19" s="46" t="s">
        <v>46</v>
      </c>
      <c r="G19" s="66">
        <f>IF(E14=406.4,95,ROUND((G17-E16)/2-10,0))</f>
        <v>82</v>
      </c>
      <c r="H19" s="18"/>
      <c r="I19" s="65">
        <f>V20</f>
        <v>123</v>
      </c>
      <c r="J19" s="57">
        <v>94.2</v>
      </c>
      <c r="K19" s="59">
        <f>V24</f>
        <v>0.93</v>
      </c>
      <c r="L19" s="65">
        <v>2</v>
      </c>
      <c r="M19" s="61">
        <f t="shared" si="0"/>
        <v>1.86</v>
      </c>
      <c r="N19" s="49"/>
      <c r="O19" s="38" t="s">
        <v>60</v>
      </c>
      <c r="P19" s="43">
        <v>150</v>
      </c>
      <c r="Q19" s="44">
        <v>150</v>
      </c>
      <c r="R19" s="44">
        <v>150</v>
      </c>
      <c r="S19" s="44">
        <v>150</v>
      </c>
      <c r="T19" s="44">
        <v>150</v>
      </c>
      <c r="U19" s="44"/>
      <c r="V19" s="44">
        <f>HLOOKUP(P2,P3:U19,17)</f>
        <v>150</v>
      </c>
      <c r="W19" s="68"/>
      <c r="X19" s="16"/>
    </row>
    <row r="20" spans="2:24" ht="17.25" x14ac:dyDescent="0.15">
      <c r="B20" s="163" t="s">
        <v>61</v>
      </c>
      <c r="C20" s="164"/>
      <c r="D20" s="51" t="s">
        <v>50</v>
      </c>
      <c r="E20" s="65">
        <v>12</v>
      </c>
      <c r="F20" s="46" t="s">
        <v>46</v>
      </c>
      <c r="G20" s="69">
        <f>IF(E14=406.4,95,ROUND((G17-E16)/2-10,0))</f>
        <v>82</v>
      </c>
      <c r="H20" s="18"/>
      <c r="I20" s="65">
        <f>V21</f>
        <v>231</v>
      </c>
      <c r="J20" s="57">
        <v>94.2</v>
      </c>
      <c r="K20" s="59">
        <f>V25</f>
        <v>1.1399999999999999</v>
      </c>
      <c r="L20" s="65">
        <v>4</v>
      </c>
      <c r="M20" s="61">
        <f t="shared" si="0"/>
        <v>4.5599999999999996</v>
      </c>
      <c r="N20" s="49"/>
      <c r="O20" s="38" t="s">
        <v>60</v>
      </c>
      <c r="P20" s="43">
        <v>139</v>
      </c>
      <c r="Q20" s="44">
        <v>139</v>
      </c>
      <c r="R20" s="44">
        <v>139</v>
      </c>
      <c r="S20" s="44">
        <v>123</v>
      </c>
      <c r="T20" s="44">
        <v>147</v>
      </c>
      <c r="U20" s="44"/>
      <c r="V20" s="44">
        <f>HLOOKUP(P2,P3:U20,18)</f>
        <v>123</v>
      </c>
      <c r="W20" s="68"/>
      <c r="X20" s="16"/>
    </row>
    <row r="21" spans="2:24" ht="17.25" x14ac:dyDescent="0.15">
      <c r="B21" s="175" t="s">
        <v>155</v>
      </c>
      <c r="C21" s="176"/>
      <c r="D21" s="51" t="s">
        <v>50</v>
      </c>
      <c r="E21" s="65">
        <f>V15</f>
        <v>22</v>
      </c>
      <c r="F21" s="46" t="s">
        <v>46</v>
      </c>
      <c r="G21" s="66">
        <f>V16</f>
        <v>450</v>
      </c>
      <c r="H21" s="20"/>
      <c r="I21" s="65">
        <f>G21</f>
        <v>450</v>
      </c>
      <c r="J21" s="57">
        <f>ROUND(7850*E21/1000,1)</f>
        <v>172.7</v>
      </c>
      <c r="K21" s="59">
        <f>IF(E15=267.4,38.06,ROUND(J21*(G21*I21-(E15/2)^2*PI())/1000000,2))</f>
        <v>28.63</v>
      </c>
      <c r="L21" s="65">
        <v>1</v>
      </c>
      <c r="M21" s="61">
        <f t="shared" si="0"/>
        <v>28.63</v>
      </c>
      <c r="N21" s="49"/>
      <c r="O21" s="38" t="s">
        <v>60</v>
      </c>
      <c r="P21" s="43">
        <v>238</v>
      </c>
      <c r="Q21" s="44">
        <v>238</v>
      </c>
      <c r="R21" s="44">
        <v>234</v>
      </c>
      <c r="S21" s="44">
        <v>231</v>
      </c>
      <c r="T21" s="44">
        <v>281</v>
      </c>
      <c r="U21" s="44"/>
      <c r="V21" s="44">
        <f>HLOOKUP(P2,P3:U21,19)</f>
        <v>231</v>
      </c>
      <c r="W21" s="68"/>
      <c r="X21" s="16"/>
    </row>
    <row r="22" spans="2:24" ht="17.25" x14ac:dyDescent="0.15">
      <c r="B22" s="163" t="s">
        <v>59</v>
      </c>
      <c r="C22" s="164"/>
      <c r="D22" s="51" t="s">
        <v>50</v>
      </c>
      <c r="E22" s="65">
        <v>12</v>
      </c>
      <c r="F22" s="46" t="s">
        <v>46</v>
      </c>
      <c r="G22" s="123">
        <f>V26</f>
        <v>107</v>
      </c>
      <c r="H22" s="20"/>
      <c r="I22" s="65">
        <v>200</v>
      </c>
      <c r="J22" s="57">
        <v>94.2</v>
      </c>
      <c r="K22" s="59">
        <f>V28</f>
        <v>1.18</v>
      </c>
      <c r="L22" s="65">
        <v>2</v>
      </c>
      <c r="M22" s="61">
        <f t="shared" si="0"/>
        <v>2.36</v>
      </c>
      <c r="N22" s="49"/>
      <c r="O22" s="38" t="s">
        <v>63</v>
      </c>
      <c r="P22" s="70">
        <v>0.22</v>
      </c>
      <c r="Q22" s="68">
        <v>0.22</v>
      </c>
      <c r="R22" s="68">
        <v>0.5</v>
      </c>
      <c r="S22" s="68">
        <v>0.52</v>
      </c>
      <c r="T22" s="68">
        <v>0.52</v>
      </c>
      <c r="U22" s="68"/>
      <c r="V22" s="68">
        <f>HLOOKUP(P2,P3:U22,20)</f>
        <v>0.52</v>
      </c>
      <c r="W22" s="68"/>
      <c r="X22" s="16"/>
    </row>
    <row r="23" spans="2:24" ht="17.25" x14ac:dyDescent="0.15">
      <c r="B23" s="163" t="s">
        <v>59</v>
      </c>
      <c r="C23" s="164"/>
      <c r="D23" s="51" t="s">
        <v>50</v>
      </c>
      <c r="E23" s="65">
        <v>12</v>
      </c>
      <c r="F23" s="46" t="s">
        <v>46</v>
      </c>
      <c r="G23" s="66">
        <f>V27</f>
        <v>140</v>
      </c>
      <c r="H23" s="20"/>
      <c r="I23" s="65">
        <v>200</v>
      </c>
      <c r="J23" s="57">
        <v>94.2</v>
      </c>
      <c r="K23" s="59">
        <f>V29</f>
        <v>1.53</v>
      </c>
      <c r="L23" s="65">
        <v>4</v>
      </c>
      <c r="M23" s="61">
        <f t="shared" si="0"/>
        <v>6.12</v>
      </c>
      <c r="N23" s="49"/>
      <c r="O23" s="38" t="s">
        <v>63</v>
      </c>
      <c r="P23" s="70">
        <v>0.6</v>
      </c>
      <c r="Q23" s="68">
        <v>0.56000000000000005</v>
      </c>
      <c r="R23" s="68">
        <v>0.61</v>
      </c>
      <c r="S23" s="68">
        <v>0.71</v>
      </c>
      <c r="T23" s="68">
        <v>0.81</v>
      </c>
      <c r="U23" s="68"/>
      <c r="V23" s="68">
        <f>HLOOKUP(P2,P3:U23,21)</f>
        <v>0.71</v>
      </c>
      <c r="W23" s="68"/>
      <c r="X23" s="16"/>
    </row>
    <row r="24" spans="2:24" ht="17.25" x14ac:dyDescent="0.15">
      <c r="B24" s="163"/>
      <c r="C24" s="164"/>
      <c r="D24" s="51"/>
      <c r="E24" s="65"/>
      <c r="F24" s="46"/>
      <c r="G24" s="66"/>
      <c r="H24" s="20"/>
      <c r="I24" s="65"/>
      <c r="J24" s="57"/>
      <c r="K24" s="59"/>
      <c r="L24" s="65"/>
      <c r="M24" s="61"/>
      <c r="N24" s="49"/>
      <c r="O24" s="38" t="s">
        <v>63</v>
      </c>
      <c r="P24" s="70">
        <v>0.9</v>
      </c>
      <c r="Q24" s="68">
        <v>0.82</v>
      </c>
      <c r="R24" s="68">
        <v>0.9</v>
      </c>
      <c r="S24" s="68">
        <v>0.93</v>
      </c>
      <c r="T24" s="68">
        <v>1.3</v>
      </c>
      <c r="U24" s="68"/>
      <c r="V24" s="68">
        <f>HLOOKUP(P2,P3:U24,22)</f>
        <v>0.93</v>
      </c>
      <c r="W24" s="68"/>
      <c r="X24" s="16"/>
    </row>
    <row r="25" spans="2:24" ht="17.25" x14ac:dyDescent="0.15">
      <c r="B25" s="163" t="s">
        <v>65</v>
      </c>
      <c r="C25" s="164"/>
      <c r="D25" s="51" t="s">
        <v>50</v>
      </c>
      <c r="E25" s="65">
        <v>12</v>
      </c>
      <c r="F25" s="46" t="s">
        <v>46</v>
      </c>
      <c r="G25" s="66">
        <f>V18</f>
        <v>200</v>
      </c>
      <c r="H25" s="20"/>
      <c r="I25" s="65">
        <f>G25</f>
        <v>200</v>
      </c>
      <c r="J25" s="57">
        <v>94.2</v>
      </c>
      <c r="K25" s="59">
        <f>V9</f>
        <v>2.76</v>
      </c>
      <c r="L25" s="65">
        <v>2</v>
      </c>
      <c r="M25" s="61">
        <f>ROUND(L25*K25,2)</f>
        <v>5.52</v>
      </c>
      <c r="N25" s="49"/>
      <c r="O25" s="38" t="s">
        <v>63</v>
      </c>
      <c r="P25" s="70">
        <v>1.05</v>
      </c>
      <c r="Q25" s="68">
        <v>0.99</v>
      </c>
      <c r="R25" s="68">
        <v>1.02</v>
      </c>
      <c r="S25" s="68">
        <v>1.1399999999999999</v>
      </c>
      <c r="T25" s="68">
        <v>1.57</v>
      </c>
      <c r="U25" s="68"/>
      <c r="V25" s="68">
        <f>HLOOKUP(P2,P3:U25,23)</f>
        <v>1.1399999999999999</v>
      </c>
      <c r="W25" s="68"/>
      <c r="X25" s="16"/>
    </row>
    <row r="26" spans="2:24" ht="17.25" x14ac:dyDescent="0.15">
      <c r="B26" s="163" t="s">
        <v>66</v>
      </c>
      <c r="C26" s="164"/>
      <c r="D26" s="51" t="s">
        <v>50</v>
      </c>
      <c r="E26" s="57">
        <v>3.2</v>
      </c>
      <c r="F26" s="46" t="s">
        <v>46</v>
      </c>
      <c r="G26" s="66">
        <f>V30</f>
        <v>244</v>
      </c>
      <c r="H26" s="46" t="s">
        <v>57</v>
      </c>
      <c r="I26" s="71" t="s">
        <v>47</v>
      </c>
      <c r="J26" s="59">
        <v>25.12</v>
      </c>
      <c r="K26" s="59">
        <f>V31</f>
        <v>1.17</v>
      </c>
      <c r="L26" s="65">
        <v>1</v>
      </c>
      <c r="M26" s="61">
        <f>ROUND(L26*K26,2)</f>
        <v>1.17</v>
      </c>
      <c r="N26" s="49"/>
      <c r="O26" s="38" t="s">
        <v>67</v>
      </c>
      <c r="P26" s="43">
        <v>120</v>
      </c>
      <c r="Q26" s="44">
        <v>120</v>
      </c>
      <c r="R26" s="44">
        <v>120</v>
      </c>
      <c r="S26" s="44">
        <v>107</v>
      </c>
      <c r="T26" s="44">
        <v>106</v>
      </c>
      <c r="U26" s="44"/>
      <c r="V26" s="44">
        <f>HLOOKUP(P2,P3:U26,24)</f>
        <v>107</v>
      </c>
      <c r="W26" s="68"/>
      <c r="X26" s="16"/>
    </row>
    <row r="27" spans="2:24" ht="17.25" x14ac:dyDescent="0.15">
      <c r="B27" s="131"/>
      <c r="C27" s="132"/>
      <c r="D27" s="51"/>
      <c r="E27" s="57"/>
      <c r="F27" s="46"/>
      <c r="G27" s="66"/>
      <c r="H27" s="46"/>
      <c r="I27" s="71"/>
      <c r="J27" s="59"/>
      <c r="K27" s="59"/>
      <c r="L27" s="65"/>
      <c r="M27" s="61"/>
      <c r="N27" s="49"/>
      <c r="O27" s="38" t="s">
        <v>67</v>
      </c>
      <c r="P27" s="43">
        <v>153</v>
      </c>
      <c r="Q27" s="44">
        <v>153</v>
      </c>
      <c r="R27" s="44">
        <v>153</v>
      </c>
      <c r="S27" s="44">
        <v>140</v>
      </c>
      <c r="T27" s="44">
        <v>143</v>
      </c>
      <c r="U27" s="44"/>
      <c r="V27" s="44">
        <f>HLOOKUP(P2,P3:U27,25)</f>
        <v>140</v>
      </c>
      <c r="W27" s="68"/>
      <c r="X27" s="16"/>
    </row>
    <row r="28" spans="2:24" ht="17.25" x14ac:dyDescent="0.15">
      <c r="B28" s="163" t="s">
        <v>68</v>
      </c>
      <c r="C28" s="164"/>
      <c r="D28" s="51" t="s">
        <v>50</v>
      </c>
      <c r="E28" s="57">
        <v>4.5</v>
      </c>
      <c r="F28" s="46" t="s">
        <v>46</v>
      </c>
      <c r="G28" s="66">
        <f>V32</f>
        <v>240</v>
      </c>
      <c r="H28" s="46" t="s">
        <v>57</v>
      </c>
      <c r="I28" s="71" t="s">
        <v>1</v>
      </c>
      <c r="J28" s="59">
        <v>35.33</v>
      </c>
      <c r="K28" s="59">
        <f>V33</f>
        <v>1.6</v>
      </c>
      <c r="L28" s="65">
        <v>1</v>
      </c>
      <c r="M28" s="61">
        <f>ROUND(L28*K28,2)</f>
        <v>1.6</v>
      </c>
      <c r="N28" s="49"/>
      <c r="O28" s="38" t="s">
        <v>63</v>
      </c>
      <c r="P28" s="70">
        <v>1.32</v>
      </c>
      <c r="Q28" s="68">
        <v>1.32</v>
      </c>
      <c r="R28" s="68">
        <v>1.32</v>
      </c>
      <c r="S28" s="68">
        <v>1.18</v>
      </c>
      <c r="T28" s="68">
        <v>1.17</v>
      </c>
      <c r="U28" s="68"/>
      <c r="V28" s="126">
        <f>HLOOKUP(P2,P3:U28,26)</f>
        <v>1.18</v>
      </c>
      <c r="W28" s="68"/>
      <c r="X28" s="16"/>
    </row>
    <row r="29" spans="2:24" ht="17.25" x14ac:dyDescent="0.15">
      <c r="B29" s="131"/>
      <c r="C29" s="132"/>
      <c r="D29" s="51"/>
      <c r="E29" s="57"/>
      <c r="F29" s="46"/>
      <c r="G29" s="66"/>
      <c r="H29" s="46"/>
      <c r="I29" s="71"/>
      <c r="J29" s="59"/>
      <c r="K29" s="59"/>
      <c r="L29" s="65"/>
      <c r="M29" s="61"/>
      <c r="N29" s="49"/>
      <c r="O29" s="38" t="s">
        <v>63</v>
      </c>
      <c r="P29" s="70">
        <v>1.66</v>
      </c>
      <c r="Q29" s="68">
        <v>1.66</v>
      </c>
      <c r="R29" s="68">
        <v>1.66</v>
      </c>
      <c r="S29" s="68">
        <v>1.53</v>
      </c>
      <c r="T29" s="68">
        <v>1.56</v>
      </c>
      <c r="U29" s="68"/>
      <c r="V29" s="126">
        <f>HLOOKUP(P2,P3:U29,27)</f>
        <v>1.53</v>
      </c>
      <c r="W29" s="68"/>
      <c r="X29" s="16"/>
    </row>
    <row r="30" spans="2:24" ht="17.25" x14ac:dyDescent="0.15">
      <c r="B30" s="163" t="s">
        <v>159</v>
      </c>
      <c r="C30" s="164"/>
      <c r="D30" s="51" t="s">
        <v>50</v>
      </c>
      <c r="E30" s="57">
        <v>4.5</v>
      </c>
      <c r="F30" s="46" t="s">
        <v>46</v>
      </c>
      <c r="G30" s="66">
        <v>50</v>
      </c>
      <c r="H30" s="46" t="s">
        <v>47</v>
      </c>
      <c r="I30" s="65">
        <v>50</v>
      </c>
      <c r="J30" s="59">
        <v>35.33</v>
      </c>
      <c r="K30" s="59">
        <v>0.09</v>
      </c>
      <c r="L30" s="65">
        <v>2</v>
      </c>
      <c r="M30" s="61">
        <f>ROUND(L30*K30,2)</f>
        <v>0.18</v>
      </c>
      <c r="N30" s="49"/>
      <c r="O30" s="38" t="s">
        <v>70</v>
      </c>
      <c r="P30" s="43">
        <v>219</v>
      </c>
      <c r="Q30" s="44">
        <v>219</v>
      </c>
      <c r="R30" s="44">
        <v>219</v>
      </c>
      <c r="S30" s="44">
        <v>244</v>
      </c>
      <c r="T30" s="44">
        <v>294</v>
      </c>
      <c r="U30" s="44"/>
      <c r="V30" s="44">
        <f>HLOOKUP(P2,P3:U30,28)</f>
        <v>244</v>
      </c>
      <c r="W30" s="68"/>
      <c r="X30" s="16"/>
    </row>
    <row r="31" spans="2:24" ht="17.25" x14ac:dyDescent="0.15">
      <c r="B31" s="163" t="s">
        <v>71</v>
      </c>
      <c r="C31" s="164"/>
      <c r="D31" s="51" t="s">
        <v>50</v>
      </c>
      <c r="E31" s="57">
        <v>3.2</v>
      </c>
      <c r="F31" s="46" t="s">
        <v>46</v>
      </c>
      <c r="G31" s="66">
        <f>V34</f>
        <v>175</v>
      </c>
      <c r="H31" s="46" t="s">
        <v>57</v>
      </c>
      <c r="I31" s="71" t="s">
        <v>47</v>
      </c>
      <c r="J31" s="59">
        <v>25.12</v>
      </c>
      <c r="K31" s="59">
        <f>V35</f>
        <v>0.6</v>
      </c>
      <c r="L31" s="65">
        <v>2</v>
      </c>
      <c r="M31" s="61">
        <f>ROUND(L31*K31,2)</f>
        <v>1.2</v>
      </c>
      <c r="N31" s="49"/>
      <c r="O31" s="38" t="s">
        <v>63</v>
      </c>
      <c r="P31" s="70">
        <v>0.95</v>
      </c>
      <c r="Q31" s="68">
        <v>0.95</v>
      </c>
      <c r="R31" s="68">
        <v>0.95</v>
      </c>
      <c r="S31" s="68">
        <v>1.17</v>
      </c>
      <c r="T31" s="68">
        <v>1.71</v>
      </c>
      <c r="U31" s="68"/>
      <c r="V31" s="126">
        <f>HLOOKUP(P2,P3:U31,29)</f>
        <v>1.17</v>
      </c>
      <c r="W31" s="68"/>
      <c r="X31" s="16"/>
    </row>
    <row r="32" spans="2:24" ht="17.25" x14ac:dyDescent="0.15">
      <c r="B32" s="163" t="s">
        <v>161</v>
      </c>
      <c r="C32" s="164"/>
      <c r="D32" s="51" t="s">
        <v>73</v>
      </c>
      <c r="E32" s="57" t="str">
        <f>V14</f>
        <v xml:space="preserve">  M22</v>
      </c>
      <c r="F32" s="72" t="s">
        <v>220</v>
      </c>
      <c r="G32" s="73"/>
      <c r="H32" s="46"/>
      <c r="I32" s="65">
        <f>V36</f>
        <v>100</v>
      </c>
      <c r="J32" s="74" t="s">
        <v>47</v>
      </c>
      <c r="K32" s="59">
        <f>V37</f>
        <v>0.51</v>
      </c>
      <c r="L32" s="65">
        <v>6</v>
      </c>
      <c r="M32" s="61">
        <f>ROUND(L32*K32,2)</f>
        <v>3.06</v>
      </c>
      <c r="N32" s="49"/>
      <c r="O32" s="38" t="s">
        <v>74</v>
      </c>
      <c r="P32" s="43">
        <v>210</v>
      </c>
      <c r="Q32" s="44">
        <v>210</v>
      </c>
      <c r="R32" s="44">
        <v>210</v>
      </c>
      <c r="S32" s="44">
        <v>240</v>
      </c>
      <c r="T32" s="44">
        <v>290</v>
      </c>
      <c r="U32" s="44"/>
      <c r="V32" s="44">
        <f>HLOOKUP(P2,P3:U32,30)</f>
        <v>240</v>
      </c>
      <c r="W32" s="68"/>
      <c r="X32" s="16"/>
    </row>
    <row r="33" spans="2:27" ht="17.25" x14ac:dyDescent="0.15">
      <c r="B33" s="163" t="s">
        <v>75</v>
      </c>
      <c r="C33" s="164"/>
      <c r="D33" s="51" t="s">
        <v>50</v>
      </c>
      <c r="E33" s="75" t="s">
        <v>76</v>
      </c>
      <c r="F33" s="72" t="s">
        <v>1</v>
      </c>
      <c r="G33" s="76" t="s">
        <v>50</v>
      </c>
      <c r="H33" s="72" t="s">
        <v>1</v>
      </c>
      <c r="I33" s="65">
        <v>65</v>
      </c>
      <c r="J33" s="77"/>
      <c r="K33" s="59">
        <v>0.2</v>
      </c>
      <c r="L33" s="65">
        <v>4</v>
      </c>
      <c r="M33" s="61">
        <f>ROUND(L33*K33,2)</f>
        <v>0.8</v>
      </c>
      <c r="N33" s="49"/>
      <c r="O33" s="38" t="s">
        <v>63</v>
      </c>
      <c r="P33" s="70">
        <v>1.22</v>
      </c>
      <c r="Q33" s="68">
        <v>1.22</v>
      </c>
      <c r="R33" s="68">
        <v>1.22</v>
      </c>
      <c r="S33" s="68">
        <v>1.6</v>
      </c>
      <c r="T33" s="68">
        <v>2.33</v>
      </c>
      <c r="U33" s="68"/>
      <c r="V33" s="126">
        <f>HLOOKUP(P2,P3:U33,31)</f>
        <v>1.6</v>
      </c>
      <c r="W33" s="68"/>
      <c r="X33" s="16"/>
    </row>
    <row r="34" spans="2:27" ht="17.25" x14ac:dyDescent="0.15">
      <c r="B34" s="163" t="s">
        <v>163</v>
      </c>
      <c r="C34" s="164"/>
      <c r="D34" s="51" t="s">
        <v>78</v>
      </c>
      <c r="E34" s="75" t="s">
        <v>79</v>
      </c>
      <c r="F34" s="18"/>
      <c r="G34" s="78"/>
      <c r="H34" s="18"/>
      <c r="I34" s="65">
        <v>25</v>
      </c>
      <c r="J34" s="77"/>
      <c r="K34" s="59">
        <v>0.01</v>
      </c>
      <c r="L34" s="65">
        <v>2</v>
      </c>
      <c r="M34" s="61">
        <f>ROUND(L34*K34,2)</f>
        <v>0.02</v>
      </c>
      <c r="N34" s="49"/>
      <c r="O34" s="38" t="s">
        <v>80</v>
      </c>
      <c r="P34" s="43">
        <v>117</v>
      </c>
      <c r="Q34" s="44">
        <v>128</v>
      </c>
      <c r="R34" s="44">
        <v>151</v>
      </c>
      <c r="S34" s="44">
        <v>175</v>
      </c>
      <c r="T34" s="44">
        <v>199</v>
      </c>
      <c r="U34" s="44"/>
      <c r="V34" s="44">
        <f>HLOOKUP(P2,P3:U34,32)</f>
        <v>175</v>
      </c>
      <c r="W34" s="68"/>
      <c r="X34" s="16"/>
    </row>
    <row r="35" spans="2:27" ht="17.25" x14ac:dyDescent="0.15">
      <c r="B35" s="45"/>
      <c r="C35" s="20"/>
      <c r="D35" s="79"/>
      <c r="E35" s="65"/>
      <c r="F35" s="20"/>
      <c r="G35" s="66"/>
      <c r="H35" s="20"/>
      <c r="I35" s="65"/>
      <c r="J35" s="59"/>
      <c r="K35" s="59"/>
      <c r="L35" s="71" t="s">
        <v>1</v>
      </c>
      <c r="M35" s="80" t="s">
        <v>1</v>
      </c>
      <c r="N35" s="49"/>
      <c r="O35" s="38" t="s">
        <v>63</v>
      </c>
      <c r="P35" s="70">
        <v>0.27</v>
      </c>
      <c r="Q35" s="68">
        <v>0.32</v>
      </c>
      <c r="R35" s="68">
        <v>0.45</v>
      </c>
      <c r="S35" s="68">
        <v>0.6</v>
      </c>
      <c r="T35" s="68">
        <v>0.78</v>
      </c>
      <c r="U35" s="68"/>
      <c r="V35" s="126">
        <f>HLOOKUP(P2,P3:U35,33)</f>
        <v>0.6</v>
      </c>
      <c r="W35" s="8"/>
      <c r="X35" s="16"/>
    </row>
    <row r="36" spans="2:27" ht="17.25" x14ac:dyDescent="0.15">
      <c r="B36" s="81"/>
      <c r="C36" s="18"/>
      <c r="D36" s="82"/>
      <c r="E36" s="81"/>
      <c r="F36" s="18"/>
      <c r="G36" s="18"/>
      <c r="H36" s="18"/>
      <c r="I36" s="83"/>
      <c r="J36" s="77"/>
      <c r="K36" s="77"/>
      <c r="L36" s="83"/>
      <c r="M36" s="84"/>
      <c r="N36" s="49"/>
      <c r="O36" s="38" t="s">
        <v>39</v>
      </c>
      <c r="P36" s="43">
        <v>70</v>
      </c>
      <c r="Q36" s="44">
        <v>70</v>
      </c>
      <c r="R36" s="44">
        <v>90</v>
      </c>
      <c r="S36" s="44">
        <v>100</v>
      </c>
      <c r="T36" s="44">
        <v>110</v>
      </c>
      <c r="U36" s="44"/>
      <c r="V36" s="44">
        <f>HLOOKUP(P2,P3:U36,34)</f>
        <v>100</v>
      </c>
      <c r="W36" s="8"/>
      <c r="X36" s="16"/>
    </row>
    <row r="37" spans="2:27" ht="17.25" x14ac:dyDescent="0.15">
      <c r="B37" s="81"/>
      <c r="C37" s="18"/>
      <c r="D37" s="82"/>
      <c r="E37" s="85"/>
      <c r="F37" s="18"/>
      <c r="G37" s="86"/>
      <c r="H37" s="18"/>
      <c r="I37" s="81"/>
      <c r="J37" s="77"/>
      <c r="K37" s="77"/>
      <c r="L37" s="83"/>
      <c r="M37" s="87"/>
      <c r="N37" s="49"/>
      <c r="O37" s="38" t="s">
        <v>63</v>
      </c>
      <c r="P37" s="70">
        <v>0.21</v>
      </c>
      <c r="Q37" s="68">
        <v>0.21</v>
      </c>
      <c r="R37" s="68">
        <v>0.48</v>
      </c>
      <c r="S37" s="68">
        <v>0.51</v>
      </c>
      <c r="T37" s="68">
        <v>0.94</v>
      </c>
      <c r="U37" s="8"/>
      <c r="V37" s="68">
        <f>HLOOKUP(P2,P3:U37,35)</f>
        <v>0.51</v>
      </c>
      <c r="W37" s="8"/>
      <c r="X37" s="16"/>
    </row>
    <row r="38" spans="2:27" ht="17.25" x14ac:dyDescent="0.2">
      <c r="B38" s="81"/>
      <c r="C38" s="18"/>
      <c r="D38" s="82"/>
      <c r="E38" s="85"/>
      <c r="F38" s="18"/>
      <c r="G38" s="86"/>
      <c r="H38" s="18"/>
      <c r="I38" s="83"/>
      <c r="J38" s="77"/>
      <c r="K38" s="77"/>
      <c r="L38" s="83"/>
      <c r="M38" s="61">
        <f>SUM(M15:M37)</f>
        <v>350.11000000000007</v>
      </c>
      <c r="N38" s="49"/>
      <c r="P38" s="8"/>
      <c r="Q38" s="8"/>
      <c r="R38" s="8"/>
      <c r="S38" s="8"/>
      <c r="T38" s="88"/>
      <c r="U38" s="8"/>
      <c r="V38" s="9" t="s">
        <v>1</v>
      </c>
      <c r="W38" s="8"/>
      <c r="X38" s="89"/>
      <c r="Y38" s="90"/>
      <c r="Z38" s="90"/>
      <c r="AA38" s="89"/>
    </row>
    <row r="39" spans="2:27" ht="17.25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O39" s="38" t="s">
        <v>23</v>
      </c>
      <c r="P39" s="53" t="s">
        <v>82</v>
      </c>
      <c r="Q39" s="54" t="s">
        <v>151</v>
      </c>
      <c r="R39" s="54" t="s">
        <v>152</v>
      </c>
      <c r="S39" s="54" t="s">
        <v>83</v>
      </c>
      <c r="T39" s="54" t="s">
        <v>83</v>
      </c>
      <c r="U39" s="8"/>
      <c r="V39" s="55" t="str">
        <f>HLOOKUP(P2,P3:U39,37)</f>
        <v>　M27</v>
      </c>
      <c r="W39" s="8"/>
      <c r="X39" s="91"/>
      <c r="Y39" s="92"/>
      <c r="Z39" s="92"/>
      <c r="AA39" s="93"/>
    </row>
    <row r="40" spans="2:27" ht="17.25" x14ac:dyDescent="0.2">
      <c r="B40" s="36"/>
      <c r="D40" s="94"/>
      <c r="E40" s="95"/>
      <c r="F40" s="36"/>
      <c r="G40" s="96"/>
      <c r="H40" s="36"/>
      <c r="I40" s="97"/>
      <c r="J40" s="98"/>
      <c r="K40" s="98"/>
      <c r="L40" s="97"/>
      <c r="M40" s="98"/>
      <c r="O40" s="38" t="s">
        <v>86</v>
      </c>
      <c r="P40" s="99">
        <v>700</v>
      </c>
      <c r="Q40" s="130">
        <v>700</v>
      </c>
      <c r="R40" s="55">
        <v>700</v>
      </c>
      <c r="S40" s="55">
        <v>850</v>
      </c>
      <c r="T40" s="55">
        <v>850</v>
      </c>
      <c r="U40" s="8"/>
      <c r="V40" s="44">
        <f>HLOOKUP(P2,P3:U40,38)</f>
        <v>850</v>
      </c>
      <c r="W40" s="8"/>
      <c r="X40" s="91"/>
      <c r="Y40" s="92"/>
      <c r="Z40" s="92"/>
      <c r="AA40" s="93"/>
    </row>
    <row r="41" spans="2:27" ht="17.25" x14ac:dyDescent="0.15">
      <c r="B41" s="36"/>
      <c r="C41" s="36"/>
      <c r="D41" s="36"/>
      <c r="E41" s="96"/>
      <c r="F41" s="36"/>
      <c r="G41" s="96"/>
      <c r="H41" s="36"/>
      <c r="I41" s="97"/>
      <c r="J41" s="98"/>
      <c r="K41" s="98"/>
      <c r="L41" s="97"/>
      <c r="M41" s="98"/>
      <c r="O41" s="38" t="s">
        <v>87</v>
      </c>
      <c r="P41" s="70">
        <v>2.09</v>
      </c>
      <c r="Q41" s="68">
        <v>2.09</v>
      </c>
      <c r="R41" s="68">
        <v>2.09</v>
      </c>
      <c r="S41" s="68">
        <v>3.82</v>
      </c>
      <c r="T41" s="68">
        <v>3.82</v>
      </c>
      <c r="U41" s="68"/>
      <c r="V41" s="44">
        <f>HLOOKUP(P2,P3:U41,39)</f>
        <v>3.82</v>
      </c>
      <c r="W41" s="68"/>
      <c r="X41" s="100"/>
      <c r="Y41" s="92"/>
      <c r="Z41" s="92"/>
      <c r="AA41" s="93"/>
    </row>
    <row r="42" spans="2:27" ht="17.25" x14ac:dyDescent="0.15">
      <c r="B42" s="18"/>
      <c r="C42" s="18"/>
      <c r="D42" s="46" t="s">
        <v>88</v>
      </c>
      <c r="E42" s="21"/>
      <c r="F42" s="20"/>
      <c r="G42" s="21"/>
      <c r="H42" s="20"/>
      <c r="I42" s="66" t="str">
        <f>V47</f>
        <v>(4-M27×850)</v>
      </c>
      <c r="J42" s="101"/>
      <c r="K42" s="102"/>
      <c r="L42" s="78"/>
      <c r="M42" s="103" t="s">
        <v>1</v>
      </c>
      <c r="O42" s="38" t="s">
        <v>89</v>
      </c>
      <c r="P42" s="99">
        <v>415</v>
      </c>
      <c r="Q42" s="55">
        <v>415</v>
      </c>
      <c r="R42" s="55">
        <v>415</v>
      </c>
      <c r="S42" s="55">
        <v>415</v>
      </c>
      <c r="T42" s="55">
        <v>465</v>
      </c>
      <c r="U42" s="8"/>
      <c r="V42" s="44">
        <f>HLOOKUP(P2,P3:U42,40)</f>
        <v>415</v>
      </c>
      <c r="W42" s="8"/>
      <c r="X42" s="100"/>
      <c r="Y42" s="92"/>
      <c r="Z42" s="92"/>
      <c r="AA42" s="93"/>
    </row>
    <row r="43" spans="2:27" ht="17.25" customHeight="1" x14ac:dyDescent="0.15">
      <c r="B43" s="165" t="s">
        <v>90</v>
      </c>
      <c r="C43" s="166"/>
      <c r="D43" s="164"/>
      <c r="E43" s="65"/>
      <c r="F43" s="46" t="s">
        <v>91</v>
      </c>
      <c r="G43" s="66"/>
      <c r="H43" s="20"/>
      <c r="I43" s="66"/>
      <c r="J43" s="74" t="s">
        <v>92</v>
      </c>
      <c r="K43" s="101"/>
      <c r="L43" s="71" t="s">
        <v>93</v>
      </c>
      <c r="M43" s="104" t="s">
        <v>94</v>
      </c>
      <c r="N43" s="49"/>
      <c r="O43" s="38" t="s">
        <v>87</v>
      </c>
      <c r="P43" s="70">
        <v>1.27</v>
      </c>
      <c r="Q43" s="68">
        <v>1.27</v>
      </c>
      <c r="R43" s="68">
        <v>1.27</v>
      </c>
      <c r="S43" s="68">
        <v>1.27</v>
      </c>
      <c r="T43" s="68">
        <v>1.42</v>
      </c>
      <c r="U43" s="8"/>
      <c r="V43" s="68">
        <f>HLOOKUP(P2,P3:U43,41)</f>
        <v>1.27</v>
      </c>
      <c r="W43" s="8"/>
      <c r="X43" s="100"/>
      <c r="Y43" s="92"/>
      <c r="Z43" s="92"/>
      <c r="AA43" s="93"/>
    </row>
    <row r="44" spans="2:27" ht="17.25" customHeight="1" x14ac:dyDescent="0.15">
      <c r="B44" s="165" t="s">
        <v>167</v>
      </c>
      <c r="C44" s="166"/>
      <c r="D44" s="164"/>
      <c r="E44" s="65" t="str">
        <f>V39</f>
        <v>　M27</v>
      </c>
      <c r="F44" s="46" t="s">
        <v>46</v>
      </c>
      <c r="G44" s="66">
        <f>V40</f>
        <v>850</v>
      </c>
      <c r="H44" s="20"/>
      <c r="I44" s="66"/>
      <c r="J44" s="59">
        <f>V41</f>
        <v>3.82</v>
      </c>
      <c r="K44" s="103" t="s">
        <v>95</v>
      </c>
      <c r="L44" s="65">
        <v>4</v>
      </c>
      <c r="M44" s="61">
        <f t="shared" ref="M44:M49" si="1">ROUND(J44*L44,2)</f>
        <v>15.28</v>
      </c>
      <c r="N44" s="49"/>
      <c r="O44" s="38" t="s">
        <v>96</v>
      </c>
      <c r="P44" s="53" t="s">
        <v>97</v>
      </c>
      <c r="Q44" s="54" t="s">
        <v>97</v>
      </c>
      <c r="R44" s="54" t="s">
        <v>97</v>
      </c>
      <c r="S44" s="54" t="s">
        <v>83</v>
      </c>
      <c r="T44" s="54" t="s">
        <v>83</v>
      </c>
      <c r="U44" s="8"/>
      <c r="V44" s="44" t="str">
        <f>HLOOKUP(P2,P3:U44,42)</f>
        <v>　M27</v>
      </c>
      <c r="W44" s="8"/>
      <c r="X44" s="100"/>
      <c r="Y44" s="92"/>
      <c r="Z44" s="92"/>
      <c r="AA44" s="93"/>
    </row>
    <row r="45" spans="2:27" ht="17.25" customHeight="1" x14ac:dyDescent="0.15">
      <c r="B45" s="165" t="s">
        <v>101</v>
      </c>
      <c r="C45" s="166"/>
      <c r="D45" s="164"/>
      <c r="E45" s="65">
        <v>65</v>
      </c>
      <c r="F45" s="46" t="s">
        <v>46</v>
      </c>
      <c r="G45" s="66">
        <v>6</v>
      </c>
      <c r="H45" s="46" t="s">
        <v>46</v>
      </c>
      <c r="I45" s="66">
        <f>V42</f>
        <v>415</v>
      </c>
      <c r="J45" s="59">
        <f>V43</f>
        <v>1.27</v>
      </c>
      <c r="K45" s="103" t="s">
        <v>102</v>
      </c>
      <c r="L45" s="65">
        <v>8</v>
      </c>
      <c r="M45" s="61">
        <f t="shared" si="1"/>
        <v>10.16</v>
      </c>
      <c r="N45" s="49"/>
      <c r="O45" s="38" t="s">
        <v>87</v>
      </c>
      <c r="P45" s="105">
        <v>7.5999999999999998E-2</v>
      </c>
      <c r="Q45" s="50">
        <v>7.5999999999999998E-2</v>
      </c>
      <c r="R45" s="50">
        <v>7.5999999999999998E-2</v>
      </c>
      <c r="S45" s="50">
        <v>0.161</v>
      </c>
      <c r="T45" s="50">
        <v>0.161</v>
      </c>
      <c r="U45" s="50"/>
      <c r="V45" s="50">
        <f>HLOOKUP(P2,P3:U45,43)</f>
        <v>0.161</v>
      </c>
      <c r="W45" s="50"/>
      <c r="X45" s="16"/>
      <c r="Y45" s="92"/>
      <c r="Z45" s="92"/>
      <c r="AA45" s="93"/>
    </row>
    <row r="46" spans="2:27" ht="17.25" customHeight="1" x14ac:dyDescent="0.15">
      <c r="B46" s="165" t="s">
        <v>103</v>
      </c>
      <c r="C46" s="166"/>
      <c r="D46" s="164"/>
      <c r="E46" s="71" t="s">
        <v>104</v>
      </c>
      <c r="F46" s="46"/>
      <c r="G46" s="66"/>
      <c r="H46" s="47" t="str">
        <f>V44</f>
        <v>　M27</v>
      </c>
      <c r="I46" s="66"/>
      <c r="J46" s="106">
        <f>V45</f>
        <v>0.161</v>
      </c>
      <c r="K46" s="103" t="s">
        <v>105</v>
      </c>
      <c r="L46" s="65">
        <v>8</v>
      </c>
      <c r="M46" s="61">
        <f t="shared" si="1"/>
        <v>1.29</v>
      </c>
      <c r="N46" s="49"/>
      <c r="O46" s="38" t="s">
        <v>106</v>
      </c>
      <c r="P46" s="105">
        <v>2.7E-2</v>
      </c>
      <c r="Q46" s="50">
        <v>2.7E-2</v>
      </c>
      <c r="R46" s="50">
        <v>2.7E-2</v>
      </c>
      <c r="S46" s="50">
        <v>4.7E-2</v>
      </c>
      <c r="T46" s="50">
        <v>4.7E-2</v>
      </c>
      <c r="U46" s="50"/>
      <c r="V46" s="50">
        <f>HLOOKUP(P2,P3:U46,44)</f>
        <v>4.7E-2</v>
      </c>
      <c r="W46" s="50"/>
      <c r="X46" s="16"/>
      <c r="Y46" s="92"/>
      <c r="Z46" s="92"/>
      <c r="AA46" s="93"/>
    </row>
    <row r="47" spans="2:27" ht="17.25" customHeight="1" x14ac:dyDescent="0.15">
      <c r="B47" s="165" t="s">
        <v>215</v>
      </c>
      <c r="C47" s="166"/>
      <c r="D47" s="164"/>
      <c r="E47" s="71" t="s">
        <v>104</v>
      </c>
      <c r="F47" s="46"/>
      <c r="G47" s="66"/>
      <c r="H47" s="66" t="str">
        <f>V44</f>
        <v>　M27</v>
      </c>
      <c r="I47" s="66"/>
      <c r="J47" s="106">
        <f>V48</f>
        <v>0.159</v>
      </c>
      <c r="K47" s="103" t="s">
        <v>105</v>
      </c>
      <c r="L47" s="65">
        <v>4</v>
      </c>
      <c r="M47" s="61">
        <f t="shared" si="1"/>
        <v>0.64</v>
      </c>
      <c r="N47" s="49"/>
      <c r="P47" s="107" t="s">
        <v>175</v>
      </c>
      <c r="Q47" s="108" t="s">
        <v>174</v>
      </c>
      <c r="R47" s="108" t="s">
        <v>174</v>
      </c>
      <c r="S47" s="108" t="s">
        <v>176</v>
      </c>
      <c r="T47" s="108" t="s">
        <v>177</v>
      </c>
      <c r="U47" s="8"/>
      <c r="V47" s="55" t="str">
        <f>HLOOKUP(P2,P3:U47,45)</f>
        <v>(4-M27×850)</v>
      </c>
      <c r="W47" s="8"/>
      <c r="X47" s="16"/>
    </row>
    <row r="48" spans="2:27" ht="17.25" customHeight="1" x14ac:dyDescent="0.15">
      <c r="B48" s="163" t="s">
        <v>216</v>
      </c>
      <c r="C48" s="166"/>
      <c r="D48" s="164"/>
      <c r="E48" s="65" t="str">
        <f>V39</f>
        <v>　M27</v>
      </c>
      <c r="F48" s="20"/>
      <c r="G48" s="66"/>
      <c r="H48" s="20"/>
      <c r="I48" s="66"/>
      <c r="J48" s="106">
        <f>V46</f>
        <v>4.7E-2</v>
      </c>
      <c r="K48" s="103" t="s">
        <v>102</v>
      </c>
      <c r="L48" s="65">
        <v>4</v>
      </c>
      <c r="M48" s="61">
        <f t="shared" si="1"/>
        <v>0.19</v>
      </c>
      <c r="N48" s="49"/>
      <c r="O48" s="151" t="s">
        <v>218</v>
      </c>
      <c r="P48" s="1">
        <v>7.3999999999999996E-2</v>
      </c>
      <c r="Q48" s="1">
        <v>7.3999999999999996E-2</v>
      </c>
      <c r="R48" s="1">
        <v>7.3999999999999996E-2</v>
      </c>
      <c r="S48" s="1">
        <v>0.159</v>
      </c>
      <c r="T48" s="1">
        <v>0.159</v>
      </c>
      <c r="V48" s="55">
        <f>HLOOKUP(P2,P3:U48,46)</f>
        <v>0.159</v>
      </c>
    </row>
    <row r="49" spans="2:25" ht="17.25" customHeight="1" x14ac:dyDescent="0.15">
      <c r="B49" s="163" t="s">
        <v>217</v>
      </c>
      <c r="C49" s="166"/>
      <c r="D49" s="164"/>
      <c r="E49" s="65" t="str">
        <f>V39</f>
        <v>　M27</v>
      </c>
      <c r="F49" s="20"/>
      <c r="G49" s="66"/>
      <c r="H49" s="20"/>
      <c r="I49" s="66"/>
      <c r="J49" s="106">
        <f>V49</f>
        <v>4.4999999999999998E-2</v>
      </c>
      <c r="K49" s="103" t="s">
        <v>102</v>
      </c>
      <c r="L49" s="65">
        <v>4</v>
      </c>
      <c r="M49" s="61">
        <f t="shared" si="1"/>
        <v>0.18</v>
      </c>
      <c r="O49" s="151" t="s">
        <v>219</v>
      </c>
      <c r="P49" s="1">
        <v>1.9E-2</v>
      </c>
      <c r="Q49" s="1">
        <v>1.9E-2</v>
      </c>
      <c r="R49" s="1">
        <v>1.9E-2</v>
      </c>
      <c r="S49" s="1">
        <v>4.4999999999999998E-2</v>
      </c>
      <c r="T49" s="1">
        <v>4.4999999999999998E-2</v>
      </c>
      <c r="V49" s="55">
        <f>HLOOKUP(P2,P3:U49,47)</f>
        <v>4.4999999999999998E-2</v>
      </c>
    </row>
    <row r="50" spans="2:25" ht="17.25" customHeight="1" x14ac:dyDescent="0.2">
      <c r="B50" s="45"/>
      <c r="C50" s="20"/>
      <c r="D50" s="20"/>
      <c r="E50" s="66"/>
      <c r="F50" s="20"/>
      <c r="G50" s="66"/>
      <c r="H50" s="20"/>
      <c r="I50" s="66"/>
      <c r="J50" s="101"/>
      <c r="K50" s="101"/>
      <c r="L50" s="66"/>
      <c r="M50" s="61">
        <f>SUM(M44:M49)</f>
        <v>27.74</v>
      </c>
      <c r="T50" s="30"/>
    </row>
    <row r="51" spans="2:25" ht="17.25" customHeight="1" x14ac:dyDescent="0.15">
      <c r="T51" s="92"/>
    </row>
    <row r="52" spans="2:25" ht="17.25" customHeight="1" x14ac:dyDescent="0.15">
      <c r="C52" s="109" t="s">
        <v>170</v>
      </c>
      <c r="D52" s="110" t="s">
        <v>113</v>
      </c>
      <c r="E52" s="167" t="s">
        <v>114</v>
      </c>
      <c r="F52" s="168"/>
      <c r="G52" s="168"/>
      <c r="H52" s="169"/>
      <c r="I52" s="148" t="s">
        <v>115</v>
      </c>
      <c r="J52" s="180" t="s">
        <v>116</v>
      </c>
      <c r="K52" s="181"/>
      <c r="R52" s="38" t="s">
        <v>117</v>
      </c>
      <c r="S52" s="8"/>
      <c r="T52" s="8"/>
      <c r="U52" s="8"/>
      <c r="V52" s="8"/>
    </row>
    <row r="53" spans="2:25" ht="17.25" customHeight="1" x14ac:dyDescent="0.15">
      <c r="C53" s="112">
        <f>E15</f>
        <v>216.3</v>
      </c>
      <c r="D53" s="133" t="str">
        <f>HLOOKUP(E16,P76:T78,2)</f>
        <v>M27*850</v>
      </c>
      <c r="E53" s="161" t="str">
        <f>HLOOKUP(E16,P76:T78,3)</f>
        <v>0.8*0.8*2.4</v>
      </c>
      <c r="F53" s="162"/>
      <c r="G53" s="162"/>
      <c r="H53" s="111"/>
      <c r="I53" s="146">
        <f>ROUND(IF(D4="","",D4/0.3+1+0.49),0)*4</f>
        <v>20</v>
      </c>
      <c r="J53" s="149">
        <f>D4-0.02</f>
        <v>1.18</v>
      </c>
      <c r="K53" s="150" t="s">
        <v>214</v>
      </c>
      <c r="S53" s="114" t="s">
        <v>118</v>
      </c>
      <c r="T53" s="8"/>
      <c r="U53" s="114" t="s">
        <v>119</v>
      </c>
      <c r="V53" s="8"/>
      <c r="W53" s="16"/>
    </row>
    <row r="54" spans="2:25" ht="17.25" customHeight="1" x14ac:dyDescent="0.15">
      <c r="S54" s="114" t="s">
        <v>120</v>
      </c>
      <c r="T54" s="8"/>
      <c r="U54" s="99">
        <f>V32</f>
        <v>240</v>
      </c>
      <c r="V54" s="9" t="s">
        <v>121</v>
      </c>
      <c r="W54" s="16"/>
    </row>
    <row r="55" spans="2:25" ht="17.25" customHeight="1" x14ac:dyDescent="0.15">
      <c r="E55" s="160" t="s">
        <v>186</v>
      </c>
      <c r="F55" s="160"/>
      <c r="G55" s="160"/>
      <c r="H55" s="160"/>
      <c r="I55" s="160" t="s">
        <v>192</v>
      </c>
      <c r="J55" s="160"/>
      <c r="K55" s="160"/>
      <c r="S55" s="114" t="s">
        <v>122</v>
      </c>
      <c r="T55" s="8"/>
      <c r="U55" s="99">
        <f>IF(X55&gt;10,X55,Y55)</f>
        <v>17.8</v>
      </c>
      <c r="V55" s="9" t="s">
        <v>123</v>
      </c>
      <c r="W55" s="16"/>
      <c r="X55" s="2">
        <f>ROUND(0.02466*V7*(V6-V7),1)</f>
        <v>17.8</v>
      </c>
      <c r="Y55" s="92">
        <f>ROUND(0.02466*V7*(V6-V7),2)</f>
        <v>17.829999999999998</v>
      </c>
    </row>
    <row r="56" spans="2:25" ht="17.25" customHeight="1" x14ac:dyDescent="0.15">
      <c r="E56" s="160"/>
      <c r="F56" s="160"/>
      <c r="G56" s="160"/>
      <c r="H56" s="160"/>
      <c r="I56" s="138" t="s">
        <v>193</v>
      </c>
      <c r="J56" s="138" t="s">
        <v>194</v>
      </c>
      <c r="K56" s="138" t="s">
        <v>195</v>
      </c>
      <c r="S56" s="114" t="s">
        <v>124</v>
      </c>
      <c r="T56" s="8"/>
      <c r="U56" s="99">
        <f>IF(X56&gt;10,X56,Y56)</f>
        <v>0.56999999999999995</v>
      </c>
      <c r="V56" s="9" t="s">
        <v>123</v>
      </c>
      <c r="W56" s="16"/>
      <c r="X56" s="2">
        <f>ROUND(0.02466*V9*(V8-V9),1)</f>
        <v>0.6</v>
      </c>
      <c r="Y56" s="92">
        <f>ROUND(0.02466*V9*(V8-V9),2)</f>
        <v>0.56999999999999995</v>
      </c>
    </row>
    <row r="57" spans="2:25" ht="17.25" customHeight="1" x14ac:dyDescent="0.15">
      <c r="E57" s="172" t="str">
        <f>HLOOKUP(E16,P76:T79,4)</f>
        <v>0.8*2.5*1.0</v>
      </c>
      <c r="F57" s="172"/>
      <c r="G57" s="172"/>
      <c r="H57" s="172"/>
      <c r="I57" s="138">
        <f>HLOOKUP(E16,P76:T82,5)</f>
        <v>3</v>
      </c>
      <c r="J57" s="138">
        <f>HLOOKUP(E16,P76:T82,6)</f>
        <v>460</v>
      </c>
      <c r="K57" s="138">
        <f>HLOOKUP(E16,P76:T82,7)</f>
        <v>5</v>
      </c>
      <c r="S57" s="114" t="s">
        <v>125</v>
      </c>
      <c r="T57" s="8"/>
      <c r="U57" s="99">
        <f>IF(X57&gt;10,X57,Y57)</f>
        <v>30.1</v>
      </c>
      <c r="V57" s="9" t="s">
        <v>123</v>
      </c>
      <c r="W57" s="16"/>
      <c r="X57" s="2">
        <f>ROUND(0.02466*V5*(V4-V5),1)</f>
        <v>30.1</v>
      </c>
      <c r="Y57" s="92">
        <f>ROUND(0.02466*V5*(V4-V5),2)</f>
        <v>30.11</v>
      </c>
    </row>
    <row r="58" spans="2:25" ht="17.25" customHeight="1" x14ac:dyDescent="0.15">
      <c r="S58" s="114" t="s">
        <v>1</v>
      </c>
      <c r="T58" s="8"/>
      <c r="U58" s="115" t="s">
        <v>1</v>
      </c>
      <c r="V58" s="9" t="s">
        <v>1</v>
      </c>
      <c r="W58" s="16"/>
    </row>
    <row r="59" spans="2:25" ht="17.25" customHeight="1" x14ac:dyDescent="0.15">
      <c r="S59" s="114" t="s">
        <v>47</v>
      </c>
      <c r="T59" s="8"/>
      <c r="U59" s="114" t="s">
        <v>1</v>
      </c>
      <c r="V59" s="9" t="s">
        <v>1</v>
      </c>
      <c r="W59" s="16"/>
    </row>
    <row r="60" spans="2:25" ht="17.25" customHeight="1" x14ac:dyDescent="0.15"/>
    <row r="61" spans="2:25" ht="17.25" customHeight="1" x14ac:dyDescent="0.15"/>
    <row r="62" spans="2:25" x14ac:dyDescent="0.15">
      <c r="P62" s="24">
        <v>101.6</v>
      </c>
      <c r="Q62" s="7">
        <v>114.3</v>
      </c>
      <c r="R62" s="7">
        <v>139.80000000000001</v>
      </c>
      <c r="S62" s="7">
        <v>165.2</v>
      </c>
      <c r="T62" s="7">
        <v>190.7</v>
      </c>
      <c r="U62" s="49"/>
      <c r="V62" s="127"/>
      <c r="W62" s="128" t="s">
        <v>6</v>
      </c>
    </row>
    <row r="63" spans="2:25" x14ac:dyDescent="0.15">
      <c r="O63" s="1" t="s">
        <v>126</v>
      </c>
      <c r="P63" s="1">
        <f>5000+(I5+D4/2)*1000+200+I6*1000</f>
        <v>6100</v>
      </c>
      <c r="Q63" s="1">
        <f>5000+(I5+D4/2)*1000+200+I6*1000</f>
        <v>6100</v>
      </c>
      <c r="R63" s="1">
        <f>5000+(I5+D4/2)*1000+200+I6*1000</f>
        <v>6100</v>
      </c>
      <c r="S63" s="1">
        <f>5000+(I5+D4/2)*1000+250+I6*1000</f>
        <v>6150</v>
      </c>
      <c r="T63" s="1">
        <f>5000+(I5+D4/2)*1000+250+I6*1000</f>
        <v>6150</v>
      </c>
    </row>
    <row r="65" spans="15:20" x14ac:dyDescent="0.15">
      <c r="P65" s="24">
        <v>101.6</v>
      </c>
      <c r="Q65" s="7">
        <v>114.3</v>
      </c>
      <c r="R65" s="7">
        <v>139.80000000000001</v>
      </c>
      <c r="S65" s="7">
        <v>165.2</v>
      </c>
      <c r="T65" s="7">
        <v>190.7</v>
      </c>
    </row>
    <row r="66" spans="15:20" x14ac:dyDescent="0.15">
      <c r="O66" s="1" t="s">
        <v>127</v>
      </c>
      <c r="P66" s="1">
        <f>D5*1000+2500-150+190</f>
        <v>4540</v>
      </c>
      <c r="Q66" s="1">
        <f>D5*1000+2500-150+190</f>
        <v>4540</v>
      </c>
      <c r="R66" s="1">
        <f>D5*1000+2500-150+190</f>
        <v>4540</v>
      </c>
      <c r="S66" s="1">
        <f>D5*1000+2500-150+220</f>
        <v>4570</v>
      </c>
      <c r="T66" s="1">
        <f>D5*1000+2500-150+260</f>
        <v>4610</v>
      </c>
    </row>
    <row r="68" spans="15:20" x14ac:dyDescent="0.15">
      <c r="P68" s="24">
        <v>101.6</v>
      </c>
      <c r="Q68" s="7">
        <v>114.3</v>
      </c>
      <c r="R68" s="7">
        <v>139.80000000000001</v>
      </c>
      <c r="S68" s="7">
        <v>165.2</v>
      </c>
      <c r="T68" s="7">
        <v>190.7</v>
      </c>
    </row>
    <row r="69" spans="15:20" x14ac:dyDescent="0.15">
      <c r="O69" s="1" t="s">
        <v>128</v>
      </c>
      <c r="P69" s="1">
        <v>83</v>
      </c>
      <c r="Q69" s="1">
        <v>74</v>
      </c>
      <c r="R69" s="1">
        <v>87</v>
      </c>
      <c r="S69" s="1">
        <v>95</v>
      </c>
      <c r="T69" s="1">
        <v>95</v>
      </c>
    </row>
    <row r="71" spans="15:20" x14ac:dyDescent="0.15">
      <c r="P71" s="24">
        <v>101.6</v>
      </c>
      <c r="Q71" s="7">
        <v>114.3</v>
      </c>
      <c r="R71" s="7">
        <v>139.80000000000001</v>
      </c>
      <c r="S71" s="7">
        <v>165.2</v>
      </c>
      <c r="T71" s="7">
        <v>190.7</v>
      </c>
    </row>
    <row r="72" spans="15:20" x14ac:dyDescent="0.15">
      <c r="O72" s="1" t="s">
        <v>129</v>
      </c>
      <c r="P72" s="119">
        <v>18</v>
      </c>
      <c r="Q72" s="1">
        <v>18</v>
      </c>
      <c r="R72" s="1">
        <v>19</v>
      </c>
      <c r="S72" s="1">
        <v>26</v>
      </c>
      <c r="T72" s="119">
        <v>27</v>
      </c>
    </row>
    <row r="74" spans="15:20" x14ac:dyDescent="0.15">
      <c r="O74" s="1" t="s">
        <v>130</v>
      </c>
      <c r="P74" s="24">
        <v>101.6</v>
      </c>
      <c r="Q74" s="7">
        <v>114.3</v>
      </c>
      <c r="R74" s="7">
        <v>139.80000000000001</v>
      </c>
      <c r="S74" s="7">
        <v>165.2</v>
      </c>
      <c r="T74" s="7">
        <v>190.7</v>
      </c>
    </row>
    <row r="75" spans="15:20" x14ac:dyDescent="0.15">
      <c r="P75" s="119">
        <v>24.43</v>
      </c>
      <c r="Q75" s="1">
        <v>24.32</v>
      </c>
      <c r="R75" s="1">
        <v>29.7</v>
      </c>
      <c r="S75" s="1">
        <v>46.54</v>
      </c>
      <c r="T75" s="119">
        <v>49.52</v>
      </c>
    </row>
    <row r="76" spans="15:20" x14ac:dyDescent="0.15">
      <c r="P76" s="24">
        <v>101.6</v>
      </c>
      <c r="Q76" s="7">
        <v>114.3</v>
      </c>
      <c r="R76" s="7">
        <v>139.80000000000001</v>
      </c>
      <c r="S76" s="7">
        <v>165.2</v>
      </c>
      <c r="T76" s="7">
        <v>190.7</v>
      </c>
    </row>
    <row r="77" spans="15:20" x14ac:dyDescent="0.15">
      <c r="P77" s="1" t="s">
        <v>131</v>
      </c>
      <c r="Q77" s="1" t="s">
        <v>131</v>
      </c>
      <c r="R77" s="1" t="s">
        <v>131</v>
      </c>
      <c r="S77" s="1" t="s">
        <v>173</v>
      </c>
      <c r="T77" s="1" t="s">
        <v>173</v>
      </c>
    </row>
    <row r="78" spans="15:20" x14ac:dyDescent="0.15">
      <c r="P78" s="129" t="s">
        <v>178</v>
      </c>
      <c r="Q78" s="129" t="s">
        <v>178</v>
      </c>
      <c r="R78" s="129" t="s">
        <v>179</v>
      </c>
      <c r="S78" s="1" t="s">
        <v>180</v>
      </c>
      <c r="T78" s="1" t="s">
        <v>181</v>
      </c>
    </row>
    <row r="79" spans="15:20" x14ac:dyDescent="0.15">
      <c r="P79" s="1" t="s">
        <v>204</v>
      </c>
      <c r="Q79" s="1" t="s">
        <v>205</v>
      </c>
      <c r="R79" s="1" t="s">
        <v>206</v>
      </c>
      <c r="S79" s="1" t="s">
        <v>207</v>
      </c>
      <c r="T79" s="1" t="s">
        <v>197</v>
      </c>
    </row>
    <row r="80" spans="15:20" x14ac:dyDescent="0.15">
      <c r="P80" s="1" t="s">
        <v>196</v>
      </c>
      <c r="Q80" s="1" t="s">
        <v>196</v>
      </c>
      <c r="R80" s="1" t="s">
        <v>196</v>
      </c>
      <c r="S80" s="1">
        <v>3</v>
      </c>
      <c r="T80" s="1">
        <v>3</v>
      </c>
    </row>
    <row r="81" spans="16:20" x14ac:dyDescent="0.15">
      <c r="P81" s="1" t="s">
        <v>196</v>
      </c>
      <c r="Q81" s="1" t="s">
        <v>196</v>
      </c>
      <c r="R81" s="1" t="s">
        <v>196</v>
      </c>
      <c r="S81" s="1">
        <v>460</v>
      </c>
      <c r="T81" s="1">
        <v>540</v>
      </c>
    </row>
    <row r="82" spans="16:20" x14ac:dyDescent="0.15">
      <c r="P82" s="1" t="s">
        <v>196</v>
      </c>
      <c r="Q82" s="1" t="s">
        <v>196</v>
      </c>
      <c r="R82" s="1" t="s">
        <v>196</v>
      </c>
      <c r="S82" s="1">
        <v>5</v>
      </c>
      <c r="T82" s="1">
        <v>6</v>
      </c>
    </row>
  </sheetData>
  <sheetProtection password="CF7A" sheet="1" objects="1" scenarios="1" selectLockedCells="1"/>
  <mergeCells count="36">
    <mergeCell ref="B26:C26"/>
    <mergeCell ref="E53:G53"/>
    <mergeCell ref="B30:C30"/>
    <mergeCell ref="B31:C31"/>
    <mergeCell ref="B32:C32"/>
    <mergeCell ref="B33:C33"/>
    <mergeCell ref="B34:C34"/>
    <mergeCell ref="B43:D43"/>
    <mergeCell ref="B44:D44"/>
    <mergeCell ref="B45:D45"/>
    <mergeCell ref="B46:D46"/>
    <mergeCell ref="B48:D48"/>
    <mergeCell ref="E52:H52"/>
    <mergeCell ref="B47:D47"/>
    <mergeCell ref="B49:D49"/>
    <mergeCell ref="D3:E3"/>
    <mergeCell ref="G9:H9"/>
    <mergeCell ref="G10:H10"/>
    <mergeCell ref="G11:H11"/>
    <mergeCell ref="B14:C14"/>
    <mergeCell ref="J52:K52"/>
    <mergeCell ref="E55:H56"/>
    <mergeCell ref="I55:K55"/>
    <mergeCell ref="E57:H57"/>
    <mergeCell ref="B15:C15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phoneticPr fontId="2"/>
  <dataValidations count="4">
    <dataValidation type="textLength" allowBlank="1" showInputMessage="1" showErrorMessage="1" sqref="M983049:M983092 N65538:AA65616 N131074:AA131152 N196610:AA196688 N262146:AA262224 N327682:AA327760 N393218:AA393296 N458754:AA458832 N524290:AA524368 N589826:AA589904 N655362:AA655440 N720898:AA720976 N786434:AA786512 N851970:AA852048 N917506:AA917584 N983042:AA983120 B8:H14 B65560:C65588 B131096:C131124 B196632:C196660 B262168:C262196 B327704:C327732 B393240:C393268 B458776:C458804 B524312:C524340 B589848:C589876 B655384:C655412 B720920:C720948 B786456:C786484 B851992:C852020 B917528:C917556 B983064:C983092 U50:W80 B65544:C65552 B131080:C131088 B196616:C196624 B262152:C262160 B327688:C327696 B393224:C393232 B458760:C458768 B524296:C524304 B589832:C589840 B655368:C655376 B720904:C720912 B786440:C786448 B851976:C851984 B917512:C917520 B983048:C983056 I11:I14 F65543 F131079 F196615 F262151 F327687 F393223 F458759 F524295 F589831 F655367 F720903 F786439 F851975 F917511 F983047 D65544:L65588 D131080:L131124 D196616:L196660 D262152:L262196 D327688:L327732 D393224:L393268 D458760:L458804 D524296:L524340 D589832:L589876 D655368:L655412 D720904:L720948 D786440:L786484 D851976:L852020 D917512:L917556 D983048:L983092 D6:D7 D65542:D65543 D131078:D131079 D196614:D196615 D262150:D262151 D327686:D327687 D393222:D393223 D458758:D458759 D524294:D524295 D589830:D589831 D655366:D655367 D720902:D720903 D786438:D786439 D851974:D851975 D917510:D917511 D983046:D983047 M65545:M65588 M131081:M131124 M196617:M196660 M262153:M262196 M327689:M327732 M393225:M393268 M458761:M458804 M524297:M524340 M589833:M589876 M655369:M655412 M720905:M720948 M786441:M786484 M851977:M852020 M917513:M917556 P50:T60 L8:L12 L14 I8:I9 O50:O80 U3:W3 X2:AA80 M9:M14 J8:K14 N2:N80 O2:O47 B52 L52:M52">
      <formula1>5</formula1>
      <formula2>6</formula2>
    </dataValidation>
    <dataValidation type="decimal" allowBlank="1" showInputMessage="1" showErrorMessage="1" error="入力数値は、１．５以下です。F-2型で計算してください。" sqref="D4 D65540 D131076 D196612 D262148 D327684 D393220 D458756 D524292 D589828 D655364 D720900 D786436 D851972 D917508 D983044">
      <formula1>0.3</formula1>
      <formula2>1.5</formula2>
    </dataValidation>
    <dataValidation type="decimal" allowBlank="1" showInputMessage="1" showErrorMessage="1" sqref="D983045 D65541 D131077 D196613 D262149 D327685 D393221 D458757 D524293 D589829 D655365 D720901 D786437 D851973 D917509">
      <formula1>1</formula1>
      <formula2>6</formula2>
    </dataValidation>
    <dataValidation type="decimal" allowBlank="1" showInputMessage="1" showErrorMessage="1" sqref="D5">
      <formula1>0.3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1"/>
  <sheetViews>
    <sheetView view="pageBreakPreview" zoomScale="70" zoomScaleNormal="64" zoomScaleSheetLayoutView="70" workbookViewId="0">
      <selection activeCell="D5" sqref="D5"/>
    </sheetView>
  </sheetViews>
  <sheetFormatPr defaultRowHeight="13.5" x14ac:dyDescent="0.15"/>
  <cols>
    <col min="1" max="1" width="4.625" style="1" customWidth="1"/>
    <col min="2" max="2" width="10.875" style="1" customWidth="1"/>
    <col min="3" max="3" width="5.875" style="1" customWidth="1"/>
    <col min="4" max="4" width="12.875" style="1" bestFit="1" customWidth="1"/>
    <col min="5" max="5" width="9.75" style="1" bestFit="1" customWidth="1"/>
    <col min="6" max="6" width="3.375" style="1" customWidth="1"/>
    <col min="7" max="7" width="8.375" style="1" customWidth="1"/>
    <col min="8" max="8" width="3.375" style="1" customWidth="1"/>
    <col min="9" max="9" width="12.375" style="1" customWidth="1"/>
    <col min="10" max="10" width="10.875" style="1" customWidth="1"/>
    <col min="11" max="11" width="10.375" style="1" bestFit="1" customWidth="1"/>
    <col min="12" max="12" width="7.125" style="1" customWidth="1"/>
    <col min="13" max="13" width="10.875" style="1" customWidth="1"/>
    <col min="14" max="26" width="10.875" style="1" hidden="1" customWidth="1"/>
    <col min="27" max="27" width="10.875" style="1" customWidth="1"/>
  </cols>
  <sheetData>
    <row r="1" spans="1:26" x14ac:dyDescent="0.15">
      <c r="P1" s="2">
        <f>IF(D7&lt;=2.5,IF(D8&lt;2.5,216.3,267.4),Q1)</f>
        <v>355.6</v>
      </c>
      <c r="Q1" s="3">
        <f>IF(D7&lt;=3.5,IF(D8&lt;2.5,267.4,318.5),R1)</f>
        <v>355.6</v>
      </c>
      <c r="R1" s="3">
        <f>IF(D7&lt;=5,IF(D8&lt;2,318.5,355.6),S1)</f>
        <v>355.6</v>
      </c>
      <c r="S1" s="3">
        <f>IF(D7&lt;=6.5,355.6,T1)</f>
        <v>355.6</v>
      </c>
      <c r="T1" s="3">
        <f>IF(D7&lt;=7.5,IF(D8&lt;2,355.6,406.4),U1)</f>
        <v>355.6</v>
      </c>
      <c r="U1" s="3">
        <f>IF(D7&lt;=9.5,406.4,V1)</f>
        <v>406.4</v>
      </c>
      <c r="V1" s="3">
        <f>IF(D7&lt;=10.5,IF(D8&lt;1.5,406.4,508),508)</f>
        <v>508</v>
      </c>
      <c r="Z1" s="2"/>
    </row>
    <row r="2" spans="1:26" ht="17.25" x14ac:dyDescent="0.2">
      <c r="B2" s="4"/>
      <c r="C2" s="5"/>
      <c r="D2" s="4" t="s">
        <v>184</v>
      </c>
      <c r="E2" s="5"/>
      <c r="F2" s="5"/>
      <c r="G2" s="5"/>
      <c r="H2" s="5"/>
      <c r="I2" s="5"/>
      <c r="J2" s="4" t="s">
        <v>182</v>
      </c>
      <c r="K2" s="6"/>
      <c r="L2" s="5"/>
      <c r="M2" s="135"/>
      <c r="P2" s="7">
        <f>IF(D8&lt;=3.5,216.3,Q2)</f>
        <v>216.3</v>
      </c>
      <c r="Q2" s="8"/>
      <c r="R2" s="9" t="s">
        <v>1</v>
      </c>
      <c r="S2" s="9" t="s">
        <v>1</v>
      </c>
      <c r="T2" s="8"/>
      <c r="U2" s="8"/>
      <c r="V2" s="8"/>
      <c r="W2" s="8"/>
    </row>
    <row r="3" spans="1:26" ht="17.25" x14ac:dyDescent="0.2">
      <c r="B3" s="10"/>
      <c r="C3" s="10"/>
      <c r="D3" s="173" t="s">
        <v>2</v>
      </c>
      <c r="E3" s="174"/>
      <c r="F3" s="10"/>
      <c r="G3" s="10"/>
      <c r="H3" s="10"/>
      <c r="I3" s="11"/>
      <c r="J3" s="5"/>
      <c r="K3" s="12"/>
      <c r="L3" s="5"/>
      <c r="M3" s="135"/>
      <c r="P3" s="13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5"/>
      <c r="X3" s="16"/>
    </row>
    <row r="4" spans="1:26" ht="17.25" x14ac:dyDescent="0.2">
      <c r="B4" s="17" t="s">
        <v>3</v>
      </c>
      <c r="C4" s="18"/>
      <c r="D4" s="137">
        <v>2</v>
      </c>
      <c r="E4" s="19" t="s">
        <v>4</v>
      </c>
      <c r="F4" s="20"/>
      <c r="G4" s="20"/>
      <c r="H4" s="21"/>
      <c r="I4" s="136">
        <v>5</v>
      </c>
      <c r="J4" s="22" t="s">
        <v>1</v>
      </c>
      <c r="K4" s="6"/>
      <c r="L4" s="5"/>
      <c r="M4" s="5"/>
      <c r="O4" s="23" t="s">
        <v>5</v>
      </c>
      <c r="P4" s="24">
        <v>216.3</v>
      </c>
      <c r="Q4" s="7">
        <v>267.39999999999998</v>
      </c>
      <c r="R4" s="7">
        <v>318.5</v>
      </c>
      <c r="S4" s="7">
        <v>355.6</v>
      </c>
      <c r="T4" s="7">
        <v>406.4</v>
      </c>
      <c r="U4" s="8"/>
      <c r="V4" s="7">
        <f>HLOOKUP(P1,P4:U4,1)</f>
        <v>355.6</v>
      </c>
      <c r="W4" s="25" t="s">
        <v>6</v>
      </c>
      <c r="X4" s="16"/>
    </row>
    <row r="5" spans="1:26" ht="17.25" x14ac:dyDescent="0.2">
      <c r="B5" s="17" t="s">
        <v>7</v>
      </c>
      <c r="C5" s="18"/>
      <c r="D5" s="137">
        <v>3</v>
      </c>
      <c r="E5" s="19"/>
      <c r="F5" s="20"/>
      <c r="G5" s="20"/>
      <c r="H5" s="20"/>
      <c r="I5" s="136"/>
      <c r="J5" s="26"/>
      <c r="K5" s="6"/>
      <c r="L5" s="5"/>
      <c r="M5" s="5"/>
      <c r="O5" s="23" t="s">
        <v>8</v>
      </c>
      <c r="P5" s="24">
        <v>5.8</v>
      </c>
      <c r="Q5" s="7">
        <v>6.6</v>
      </c>
      <c r="R5" s="7">
        <v>6.9</v>
      </c>
      <c r="S5" s="7">
        <v>7.9</v>
      </c>
      <c r="T5" s="7">
        <v>9.5</v>
      </c>
      <c r="U5" s="8"/>
      <c r="V5" s="7">
        <f>HLOOKUP(P1,P4:U5,2)</f>
        <v>7.9</v>
      </c>
      <c r="W5" s="25" t="s">
        <v>1</v>
      </c>
      <c r="X5" s="16"/>
    </row>
    <row r="6" spans="1:26" ht="17.25" x14ac:dyDescent="0.2">
      <c r="B6" s="17" t="s">
        <v>9</v>
      </c>
      <c r="C6" s="18"/>
      <c r="D6" s="27">
        <f>(D4/4*2)/2</f>
        <v>0.5</v>
      </c>
      <c r="E6" s="28" t="s">
        <v>10</v>
      </c>
      <c r="F6" s="29" t="s">
        <v>1</v>
      </c>
      <c r="G6" s="29" t="s">
        <v>11</v>
      </c>
      <c r="H6" s="29" t="s">
        <v>1</v>
      </c>
      <c r="I6" s="145">
        <v>0.3</v>
      </c>
      <c r="J6" s="26"/>
      <c r="K6" s="6"/>
      <c r="L6" s="5"/>
      <c r="M6" s="5"/>
      <c r="O6" s="23" t="s">
        <v>12</v>
      </c>
      <c r="P6" s="24">
        <v>114.3</v>
      </c>
      <c r="Q6" s="7">
        <v>139.80000000000001</v>
      </c>
      <c r="R6" s="7">
        <v>165.2</v>
      </c>
      <c r="S6" s="7">
        <v>190.7</v>
      </c>
      <c r="T6" s="7">
        <v>216.3</v>
      </c>
      <c r="U6" s="8"/>
      <c r="V6" s="7">
        <f>HLOOKUP(P1,P4:U6,3)</f>
        <v>190.7</v>
      </c>
      <c r="W6" s="25" t="s">
        <v>13</v>
      </c>
      <c r="X6" s="16"/>
    </row>
    <row r="7" spans="1:26" ht="17.25" x14ac:dyDescent="0.2">
      <c r="A7" s="30"/>
      <c r="B7" s="17" t="s">
        <v>14</v>
      </c>
      <c r="C7" s="31" t="s">
        <v>15</v>
      </c>
      <c r="D7" s="32">
        <f>D4*D5</f>
        <v>6</v>
      </c>
      <c r="E7" s="33"/>
      <c r="F7" s="34" t="str">
        <f>IF(P1=508,"標識板標準外です。入力をやり直して下さい。","")</f>
        <v/>
      </c>
      <c r="G7" s="35"/>
      <c r="H7" s="36"/>
      <c r="I7" s="36"/>
      <c r="J7" s="5"/>
      <c r="K7" s="5"/>
      <c r="L7" s="5"/>
      <c r="M7" s="5"/>
      <c r="O7" s="23" t="s">
        <v>16</v>
      </c>
      <c r="P7" s="24">
        <v>4.5</v>
      </c>
      <c r="Q7" s="7">
        <v>4.5</v>
      </c>
      <c r="R7" s="7">
        <v>4.5</v>
      </c>
      <c r="S7" s="7">
        <v>5.3</v>
      </c>
      <c r="T7" s="7">
        <v>5.8</v>
      </c>
      <c r="U7" s="8"/>
      <c r="V7" s="7">
        <f>HLOOKUP(P1,P4:U7,4)</f>
        <v>5.3</v>
      </c>
      <c r="W7" s="25" t="s">
        <v>13</v>
      </c>
      <c r="X7" s="16"/>
    </row>
    <row r="8" spans="1:26" ht="17.25" x14ac:dyDescent="0.2">
      <c r="A8" s="30"/>
      <c r="B8" s="17" t="s">
        <v>17</v>
      </c>
      <c r="C8" s="20"/>
      <c r="D8" s="32">
        <f>D5/D4</f>
        <v>1.5</v>
      </c>
      <c r="E8" s="37"/>
      <c r="F8" s="35"/>
      <c r="G8" s="20"/>
      <c r="H8" s="20"/>
      <c r="I8" s="20"/>
      <c r="J8" s="5"/>
      <c r="K8" s="26"/>
      <c r="L8" s="26"/>
      <c r="M8" s="26"/>
      <c r="O8" s="38" t="s">
        <v>18</v>
      </c>
      <c r="P8" s="24">
        <v>76.3</v>
      </c>
      <c r="Q8" s="7">
        <v>101.6</v>
      </c>
      <c r="R8" s="7">
        <v>114.3</v>
      </c>
      <c r="S8" s="7">
        <v>139.80000000000001</v>
      </c>
      <c r="T8" s="7">
        <v>139.80000000000001</v>
      </c>
      <c r="U8" s="8"/>
      <c r="V8" s="7">
        <f>HLOOKUP(P1,P4:U8,5)</f>
        <v>139.80000000000001</v>
      </c>
      <c r="W8" s="25" t="s">
        <v>13</v>
      </c>
      <c r="X8" s="16"/>
    </row>
    <row r="9" spans="1:26" ht="17.25" x14ac:dyDescent="0.2">
      <c r="B9" s="5"/>
      <c r="C9" s="5"/>
      <c r="D9" s="5"/>
      <c r="E9" s="5"/>
      <c r="F9" s="5"/>
      <c r="G9" s="163" t="s">
        <v>19</v>
      </c>
      <c r="H9" s="164"/>
      <c r="I9" s="142">
        <f>ROUND(M36,0)</f>
        <v>1000</v>
      </c>
      <c r="J9" s="40" t="s">
        <v>20</v>
      </c>
      <c r="K9" s="143"/>
      <c r="L9" s="26"/>
      <c r="M9" s="144"/>
      <c r="O9" s="23" t="s">
        <v>21</v>
      </c>
      <c r="P9" s="24">
        <v>3.2</v>
      </c>
      <c r="Q9" s="7">
        <v>4.2</v>
      </c>
      <c r="R9" s="7">
        <v>4.5</v>
      </c>
      <c r="S9" s="7">
        <v>4.5</v>
      </c>
      <c r="T9" s="7">
        <v>4.5</v>
      </c>
      <c r="U9" s="8"/>
      <c r="V9" s="7">
        <f>HLOOKUP(P1,P4:U9,6)</f>
        <v>4.5</v>
      </c>
      <c r="W9" s="25" t="s">
        <v>13</v>
      </c>
      <c r="X9" s="16"/>
    </row>
    <row r="10" spans="1:26" ht="17.25" x14ac:dyDescent="0.2">
      <c r="B10" s="5"/>
      <c r="C10" s="5"/>
      <c r="D10" s="5"/>
      <c r="E10" s="5"/>
      <c r="F10" s="41" t="s">
        <v>22</v>
      </c>
      <c r="G10" s="163" t="s">
        <v>23</v>
      </c>
      <c r="H10" s="164"/>
      <c r="I10" s="42">
        <f>ROUND(M48,0)</f>
        <v>63</v>
      </c>
      <c r="J10" s="40" t="s">
        <v>20</v>
      </c>
      <c r="K10" s="5"/>
      <c r="L10" s="5"/>
      <c r="M10" s="5"/>
      <c r="O10" s="23" t="s">
        <v>24</v>
      </c>
      <c r="P10" s="43">
        <v>200</v>
      </c>
      <c r="Q10" s="44">
        <v>200</v>
      </c>
      <c r="R10" s="44">
        <v>250</v>
      </c>
      <c r="S10" s="44">
        <v>250</v>
      </c>
      <c r="T10" s="44">
        <v>300</v>
      </c>
      <c r="U10" s="8"/>
      <c r="V10" s="44">
        <f>HLOOKUP(P1,P4:U10,7)</f>
        <v>250</v>
      </c>
      <c r="W10" s="25" t="s">
        <v>1</v>
      </c>
      <c r="X10" s="16"/>
    </row>
    <row r="11" spans="1:26" ht="17.25" x14ac:dyDescent="0.2">
      <c r="B11" s="5"/>
      <c r="C11" s="5"/>
      <c r="D11" s="5"/>
      <c r="E11" s="5"/>
      <c r="F11" s="5"/>
      <c r="G11" s="163" t="s">
        <v>25</v>
      </c>
      <c r="H11" s="164"/>
      <c r="I11" s="39">
        <f>I9+I10</f>
        <v>1063</v>
      </c>
      <c r="J11" s="40" t="s">
        <v>20</v>
      </c>
      <c r="K11" s="5"/>
      <c r="L11" s="5"/>
      <c r="M11" s="5"/>
      <c r="O11" s="23" t="s">
        <v>26</v>
      </c>
      <c r="P11" s="43">
        <v>190</v>
      </c>
      <c r="Q11" s="44">
        <v>230</v>
      </c>
      <c r="R11" s="44">
        <v>270</v>
      </c>
      <c r="S11" s="44">
        <v>300</v>
      </c>
      <c r="T11" s="44">
        <v>340</v>
      </c>
      <c r="U11" s="8"/>
      <c r="V11" s="44">
        <f>HLOOKUP(P1,P4:U11,8)</f>
        <v>300</v>
      </c>
      <c r="W11" s="25" t="s">
        <v>1</v>
      </c>
      <c r="X11" s="16"/>
    </row>
    <row r="12" spans="1:26" ht="17.2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38" t="s">
        <v>27</v>
      </c>
      <c r="P12" s="43">
        <v>12</v>
      </c>
      <c r="Q12" s="44">
        <v>16</v>
      </c>
      <c r="R12" s="44">
        <v>16</v>
      </c>
      <c r="S12" s="44">
        <v>16</v>
      </c>
      <c r="T12" s="44">
        <v>22</v>
      </c>
      <c r="U12" s="8"/>
      <c r="V12" s="44">
        <f>HLOOKUP(P1,P4:U12,9)</f>
        <v>16</v>
      </c>
      <c r="W12" s="25" t="s">
        <v>1</v>
      </c>
      <c r="X12" s="16"/>
    </row>
    <row r="13" spans="1:26" ht="17.25" x14ac:dyDescent="0.15">
      <c r="B13" s="45"/>
      <c r="C13" s="20"/>
      <c r="D13" s="46" t="s">
        <v>28</v>
      </c>
      <c r="E13" s="47" t="str">
        <f>D2</f>
        <v>Ｆ2型標識</v>
      </c>
      <c r="F13" s="20"/>
      <c r="G13" s="20"/>
      <c r="H13" s="20"/>
      <c r="I13" s="20"/>
      <c r="J13" s="20"/>
      <c r="K13" s="20"/>
      <c r="L13" s="46" t="s">
        <v>183</v>
      </c>
      <c r="M13" s="48"/>
      <c r="N13" s="49"/>
      <c r="O13" s="38" t="s">
        <v>30</v>
      </c>
      <c r="P13" s="43">
        <v>300</v>
      </c>
      <c r="Q13" s="44">
        <v>300</v>
      </c>
      <c r="R13" s="44">
        <v>350</v>
      </c>
      <c r="S13" s="44">
        <v>400</v>
      </c>
      <c r="T13" s="44">
        <v>400</v>
      </c>
      <c r="U13" s="8"/>
      <c r="V13" s="44">
        <f>HLOOKUP(P1,P4:U13,10)</f>
        <v>400</v>
      </c>
      <c r="W13" s="50"/>
      <c r="X13" s="16"/>
    </row>
    <row r="14" spans="1:26" ht="17.25" x14ac:dyDescent="0.15">
      <c r="B14" s="163" t="s">
        <v>31</v>
      </c>
      <c r="C14" s="164"/>
      <c r="D14" s="51" t="s">
        <v>32</v>
      </c>
      <c r="E14" s="17" t="s">
        <v>33</v>
      </c>
      <c r="F14" s="20"/>
      <c r="G14" s="20"/>
      <c r="H14" s="20"/>
      <c r="I14" s="51" t="s">
        <v>34</v>
      </c>
      <c r="J14" s="17" t="s">
        <v>35</v>
      </c>
      <c r="K14" s="51" t="s">
        <v>36</v>
      </c>
      <c r="L14" s="51" t="s">
        <v>37</v>
      </c>
      <c r="M14" s="52" t="s">
        <v>38</v>
      </c>
      <c r="N14" s="49"/>
      <c r="O14" s="38" t="s">
        <v>39</v>
      </c>
      <c r="P14" s="53" t="s">
        <v>40</v>
      </c>
      <c r="Q14" s="54" t="s">
        <v>41</v>
      </c>
      <c r="R14" s="54" t="s">
        <v>41</v>
      </c>
      <c r="S14" s="54" t="s">
        <v>42</v>
      </c>
      <c r="T14" s="54" t="s">
        <v>43</v>
      </c>
      <c r="U14" s="8"/>
      <c r="V14" s="55" t="str">
        <f>HLOOKUP(P1,P4:U14,11)</f>
        <v xml:space="preserve">  M22</v>
      </c>
      <c r="W14" s="50"/>
      <c r="X14" s="16"/>
    </row>
    <row r="15" spans="1:26" ht="17.25" x14ac:dyDescent="0.2">
      <c r="B15" s="163" t="s">
        <v>44</v>
      </c>
      <c r="C15" s="164"/>
      <c r="D15" s="56" t="s">
        <v>45</v>
      </c>
      <c r="E15" s="57">
        <f>P1</f>
        <v>355.6</v>
      </c>
      <c r="F15" s="46" t="s">
        <v>46</v>
      </c>
      <c r="G15" s="21">
        <f>V5</f>
        <v>7.9</v>
      </c>
      <c r="H15" s="46" t="s">
        <v>47</v>
      </c>
      <c r="I15" s="58">
        <f>HLOOKUP(E15,P60:T61,2)</f>
        <v>7050</v>
      </c>
      <c r="J15" s="59">
        <f>U55</f>
        <v>67.7</v>
      </c>
      <c r="K15" s="59">
        <f>ROUND(J15*I15/1000,2)</f>
        <v>477.29</v>
      </c>
      <c r="L15" s="60">
        <v>1</v>
      </c>
      <c r="M15" s="61">
        <f t="shared" ref="M15:M32" si="0">ROUND(L15*K15,2)</f>
        <v>477.29</v>
      </c>
      <c r="N15" s="49"/>
      <c r="O15" s="38" t="s">
        <v>48</v>
      </c>
      <c r="P15" s="43">
        <v>22</v>
      </c>
      <c r="Q15" s="44">
        <v>25</v>
      </c>
      <c r="R15" s="44">
        <v>28</v>
      </c>
      <c r="S15" s="44">
        <v>32</v>
      </c>
      <c r="T15" s="44">
        <v>32</v>
      </c>
      <c r="U15" s="62"/>
      <c r="V15" s="55">
        <f>HLOOKUP(P1,P4:U15,12)</f>
        <v>32</v>
      </c>
      <c r="W15" s="50"/>
      <c r="X15" s="16"/>
    </row>
    <row r="16" spans="1:26" ht="17.25" x14ac:dyDescent="0.2">
      <c r="B16" s="163" t="s">
        <v>49</v>
      </c>
      <c r="C16" s="164"/>
      <c r="D16" s="51" t="s">
        <v>50</v>
      </c>
      <c r="E16" s="57">
        <f>V6</f>
        <v>190.7</v>
      </c>
      <c r="F16" s="46" t="s">
        <v>46</v>
      </c>
      <c r="G16" s="21">
        <f>V7</f>
        <v>5.3</v>
      </c>
      <c r="H16" s="46" t="s">
        <v>47</v>
      </c>
      <c r="I16" s="58">
        <f>HLOOKUP(E15,P63:T64,2)</f>
        <v>5650</v>
      </c>
      <c r="J16" s="59">
        <f>U53</f>
        <v>24.2</v>
      </c>
      <c r="K16" s="59">
        <f>ROUND(J16*I16/1000,2)</f>
        <v>136.72999999999999</v>
      </c>
      <c r="L16" s="60">
        <v>2</v>
      </c>
      <c r="M16" s="61">
        <f t="shared" si="0"/>
        <v>273.45999999999998</v>
      </c>
      <c r="N16" s="49"/>
      <c r="O16" s="38" t="s">
        <v>51</v>
      </c>
      <c r="P16" s="43">
        <v>600</v>
      </c>
      <c r="Q16" s="44">
        <v>600</v>
      </c>
      <c r="R16" s="44">
        <v>600</v>
      </c>
      <c r="S16" s="44">
        <v>650</v>
      </c>
      <c r="T16" s="44">
        <v>700</v>
      </c>
      <c r="U16" s="62"/>
      <c r="V16" s="55">
        <f>HLOOKUP(P1,P4:U16,13)</f>
        <v>650</v>
      </c>
      <c r="W16" s="50"/>
      <c r="X16" s="16"/>
    </row>
    <row r="17" spans="2:24" ht="17.25" x14ac:dyDescent="0.15">
      <c r="B17" s="163" t="s">
        <v>52</v>
      </c>
      <c r="C17" s="164"/>
      <c r="D17" s="51" t="s">
        <v>50</v>
      </c>
      <c r="E17" s="57">
        <f>V8</f>
        <v>139.80000000000001</v>
      </c>
      <c r="F17" s="46" t="s">
        <v>46</v>
      </c>
      <c r="G17" s="21">
        <f>V9</f>
        <v>4.5</v>
      </c>
      <c r="H17" s="20"/>
      <c r="I17" s="58">
        <f>(D4-D6*2)*1000</f>
        <v>1000</v>
      </c>
      <c r="J17" s="59">
        <f>U54</f>
        <v>15</v>
      </c>
      <c r="K17" s="59">
        <f>ROUND(J17*I17/1000,2)</f>
        <v>15</v>
      </c>
      <c r="L17" s="60">
        <v>2</v>
      </c>
      <c r="M17" s="61">
        <f t="shared" si="0"/>
        <v>30</v>
      </c>
      <c r="N17" s="49"/>
      <c r="O17" s="38" t="s">
        <v>23</v>
      </c>
      <c r="P17" s="63" t="s">
        <v>42</v>
      </c>
      <c r="Q17" s="64" t="s">
        <v>43</v>
      </c>
      <c r="R17" s="64" t="s">
        <v>53</v>
      </c>
      <c r="S17" s="64" t="s">
        <v>53</v>
      </c>
      <c r="T17" s="64" t="s">
        <v>54</v>
      </c>
      <c r="U17" s="44"/>
      <c r="V17" s="44" t="str">
        <f>HLOOKUP(P1,P4:U17,14)</f>
        <v xml:space="preserve">  M33</v>
      </c>
      <c r="W17" s="8"/>
      <c r="X17" s="16"/>
    </row>
    <row r="18" spans="2:24" ht="17.25" x14ac:dyDescent="0.15">
      <c r="B18" s="163" t="s">
        <v>55</v>
      </c>
      <c r="C18" s="182"/>
      <c r="D18" s="51" t="s">
        <v>56</v>
      </c>
      <c r="E18" s="65">
        <f>V12</f>
        <v>16</v>
      </c>
      <c r="F18" s="46" t="s">
        <v>46</v>
      </c>
      <c r="G18" s="66">
        <f>V13</f>
        <v>400</v>
      </c>
      <c r="H18" s="46" t="s">
        <v>57</v>
      </c>
      <c r="I18" s="67" t="s">
        <v>47</v>
      </c>
      <c r="J18" s="57">
        <f>ROUND(7850*E18/1000,1)</f>
        <v>125.6</v>
      </c>
      <c r="K18" s="59">
        <f>ROUND(((G18/2)^2-(E16/2)^2)*PI()/1000000*J18,2)</f>
        <v>12.2</v>
      </c>
      <c r="L18" s="65">
        <v>4</v>
      </c>
      <c r="M18" s="61">
        <f t="shared" si="0"/>
        <v>48.8</v>
      </c>
      <c r="N18" s="49"/>
      <c r="O18" s="38" t="s">
        <v>58</v>
      </c>
      <c r="P18" s="43">
        <v>200</v>
      </c>
      <c r="Q18" s="44">
        <v>200</v>
      </c>
      <c r="R18" s="44">
        <v>250</v>
      </c>
      <c r="S18" s="44">
        <v>250</v>
      </c>
      <c r="T18" s="44">
        <v>250</v>
      </c>
      <c r="U18" s="44"/>
      <c r="V18" s="44">
        <f>HLOOKUP(P1,P4:U18,15)</f>
        <v>250</v>
      </c>
      <c r="W18" s="8"/>
      <c r="X18" s="16"/>
    </row>
    <row r="19" spans="2:24" ht="17.25" x14ac:dyDescent="0.15">
      <c r="B19" s="163" t="s">
        <v>59</v>
      </c>
      <c r="C19" s="164"/>
      <c r="D19" s="51" t="s">
        <v>50</v>
      </c>
      <c r="E19" s="65">
        <v>12</v>
      </c>
      <c r="F19" s="46" t="s">
        <v>46</v>
      </c>
      <c r="G19" s="66">
        <f>IF(E15=406.4,82,ROUND((G18-E16)/2-10,0))</f>
        <v>95</v>
      </c>
      <c r="H19" s="18"/>
      <c r="I19" s="65">
        <v>200</v>
      </c>
      <c r="J19" s="57">
        <v>94.2</v>
      </c>
      <c r="K19" s="59">
        <f>V22</f>
        <v>1.06</v>
      </c>
      <c r="L19" s="65">
        <v>16</v>
      </c>
      <c r="M19" s="61">
        <f t="shared" si="0"/>
        <v>16.96</v>
      </c>
      <c r="N19" s="49"/>
      <c r="O19" s="38" t="s">
        <v>60</v>
      </c>
      <c r="P19" s="43">
        <v>130</v>
      </c>
      <c r="Q19" s="44">
        <v>100</v>
      </c>
      <c r="R19" s="44">
        <v>125</v>
      </c>
      <c r="S19" s="44">
        <v>106</v>
      </c>
      <c r="T19" s="44">
        <v>125</v>
      </c>
      <c r="U19" s="44"/>
      <c r="V19" s="44">
        <f>HLOOKUP(P1,P4:U19,16)</f>
        <v>106</v>
      </c>
      <c r="W19" s="68"/>
      <c r="X19" s="16"/>
    </row>
    <row r="20" spans="2:24" ht="17.25" x14ac:dyDescent="0.15">
      <c r="B20" s="163" t="s">
        <v>61</v>
      </c>
      <c r="C20" s="164"/>
      <c r="D20" s="51" t="s">
        <v>50</v>
      </c>
      <c r="E20" s="65">
        <v>12</v>
      </c>
      <c r="F20" s="46" t="s">
        <v>46</v>
      </c>
      <c r="G20" s="66">
        <f>IF(E15=406.4,82,ROUND((G18-E16)/2-10,0))</f>
        <v>95</v>
      </c>
      <c r="H20" s="18"/>
      <c r="I20" s="65">
        <f>V19</f>
        <v>106</v>
      </c>
      <c r="J20" s="57">
        <v>94.2</v>
      </c>
      <c r="K20" s="59">
        <f>V23</f>
        <v>0.93</v>
      </c>
      <c r="L20" s="65">
        <v>4</v>
      </c>
      <c r="M20" s="61">
        <f t="shared" si="0"/>
        <v>3.72</v>
      </c>
      <c r="N20" s="49"/>
      <c r="O20" s="38" t="s">
        <v>60</v>
      </c>
      <c r="P20" s="43">
        <v>195</v>
      </c>
      <c r="Q20" s="44">
        <v>144</v>
      </c>
      <c r="R20" s="44">
        <v>175</v>
      </c>
      <c r="S20" s="44">
        <v>168</v>
      </c>
      <c r="T20" s="44">
        <v>225</v>
      </c>
      <c r="U20" s="44"/>
      <c r="V20" s="44">
        <f>HLOOKUP(P1,P4:U20,17)</f>
        <v>168</v>
      </c>
      <c r="W20" s="68"/>
      <c r="X20" s="16"/>
    </row>
    <row r="21" spans="2:24" ht="17.25" x14ac:dyDescent="0.15">
      <c r="B21" s="163" t="s">
        <v>61</v>
      </c>
      <c r="C21" s="164"/>
      <c r="D21" s="51" t="s">
        <v>50</v>
      </c>
      <c r="E21" s="65">
        <v>12</v>
      </c>
      <c r="F21" s="46" t="s">
        <v>46</v>
      </c>
      <c r="G21" s="69">
        <f>IF(E15=406.4,82,ROUND((G18-E16)/2-10,0))</f>
        <v>95</v>
      </c>
      <c r="H21" s="18"/>
      <c r="I21" s="65">
        <f>V20</f>
        <v>168</v>
      </c>
      <c r="J21" s="57">
        <v>94.2</v>
      </c>
      <c r="K21" s="59">
        <f>V24</f>
        <v>1.03</v>
      </c>
      <c r="L21" s="65">
        <v>8</v>
      </c>
      <c r="M21" s="61">
        <f t="shared" si="0"/>
        <v>8.24</v>
      </c>
      <c r="N21" s="49"/>
      <c r="O21" s="38" t="s">
        <v>60</v>
      </c>
      <c r="P21" s="43">
        <v>238</v>
      </c>
      <c r="Q21" s="44">
        <v>234</v>
      </c>
      <c r="R21" s="44">
        <v>284</v>
      </c>
      <c r="S21" s="44">
        <v>284</v>
      </c>
      <c r="T21" s="44">
        <v>328</v>
      </c>
      <c r="U21" s="44"/>
      <c r="V21" s="44">
        <f>HLOOKUP(P1,P4:U21,18)</f>
        <v>284</v>
      </c>
      <c r="W21" s="68"/>
      <c r="X21" s="16"/>
    </row>
    <row r="22" spans="2:24" ht="17.25" x14ac:dyDescent="0.15">
      <c r="B22" s="163" t="s">
        <v>61</v>
      </c>
      <c r="C22" s="164"/>
      <c r="D22" s="51" t="s">
        <v>50</v>
      </c>
      <c r="E22" s="65">
        <v>12</v>
      </c>
      <c r="F22" s="46" t="s">
        <v>46</v>
      </c>
      <c r="G22" s="66">
        <f>HLOOKUP(E15,P66:T67,2)</f>
        <v>95</v>
      </c>
      <c r="H22" s="18"/>
      <c r="I22" s="65">
        <f>V21</f>
        <v>284</v>
      </c>
      <c r="J22" s="57">
        <v>94.2</v>
      </c>
      <c r="K22" s="59">
        <f>V25</f>
        <v>1.66</v>
      </c>
      <c r="L22" s="65">
        <v>4</v>
      </c>
      <c r="M22" s="61">
        <f t="shared" si="0"/>
        <v>6.64</v>
      </c>
      <c r="N22" s="49"/>
      <c r="O22" s="38" t="s">
        <v>63</v>
      </c>
      <c r="P22" s="70">
        <v>0.93</v>
      </c>
      <c r="Q22" s="68">
        <v>0.8</v>
      </c>
      <c r="R22" s="68">
        <v>0.92</v>
      </c>
      <c r="S22" s="68">
        <v>1.06</v>
      </c>
      <c r="T22" s="68">
        <v>0.9</v>
      </c>
      <c r="U22" s="68"/>
      <c r="V22" s="68">
        <f>HLOOKUP(P1,P4:U22,19)</f>
        <v>1.06</v>
      </c>
      <c r="W22" s="68"/>
      <c r="X22" s="16"/>
    </row>
    <row r="23" spans="2:24" ht="17.25" x14ac:dyDescent="0.15">
      <c r="B23" s="163" t="s">
        <v>64</v>
      </c>
      <c r="C23" s="164"/>
      <c r="D23" s="51" t="s">
        <v>50</v>
      </c>
      <c r="E23" s="65">
        <f>V15</f>
        <v>32</v>
      </c>
      <c r="F23" s="46" t="s">
        <v>46</v>
      </c>
      <c r="G23" s="66">
        <f>V16</f>
        <v>650</v>
      </c>
      <c r="H23" s="20"/>
      <c r="I23" s="65">
        <f>G23</f>
        <v>650</v>
      </c>
      <c r="J23" s="57">
        <f>ROUND(7850*E23/1000,1)</f>
        <v>251.2</v>
      </c>
      <c r="K23" s="59">
        <f>V47</f>
        <v>81.180000000000007</v>
      </c>
      <c r="L23" s="65">
        <v>1</v>
      </c>
      <c r="M23" s="61">
        <f t="shared" si="0"/>
        <v>81.180000000000007</v>
      </c>
      <c r="N23" s="49"/>
      <c r="O23" s="38" t="s">
        <v>63</v>
      </c>
      <c r="P23" s="70">
        <v>1</v>
      </c>
      <c r="Q23" s="68">
        <v>0.64</v>
      </c>
      <c r="R23" s="68">
        <v>0.95</v>
      </c>
      <c r="S23" s="68">
        <v>0.93</v>
      </c>
      <c r="T23" s="68">
        <v>0.96</v>
      </c>
      <c r="U23" s="68"/>
      <c r="V23" s="68">
        <f>HLOOKUP(P1,P4:U23,20)</f>
        <v>0.93</v>
      </c>
      <c r="W23" s="68"/>
      <c r="X23" s="16"/>
    </row>
    <row r="24" spans="2:24" ht="17.25" x14ac:dyDescent="0.15">
      <c r="B24" s="163" t="s">
        <v>59</v>
      </c>
      <c r="C24" s="164"/>
      <c r="D24" s="51" t="s">
        <v>50</v>
      </c>
      <c r="E24" s="65">
        <v>12</v>
      </c>
      <c r="F24" s="46" t="s">
        <v>46</v>
      </c>
      <c r="G24" s="66">
        <f>V26</f>
        <v>148</v>
      </c>
      <c r="H24" s="20"/>
      <c r="I24" s="65">
        <v>250</v>
      </c>
      <c r="J24" s="57">
        <v>94.2</v>
      </c>
      <c r="K24" s="59">
        <f>V27</f>
        <v>1.98</v>
      </c>
      <c r="L24" s="65">
        <v>8</v>
      </c>
      <c r="M24" s="61">
        <f t="shared" si="0"/>
        <v>15.84</v>
      </c>
      <c r="N24" s="49"/>
      <c r="O24" s="38" t="s">
        <v>63</v>
      </c>
      <c r="P24" s="70">
        <v>1.06</v>
      </c>
      <c r="Q24" s="68">
        <v>0.69</v>
      </c>
      <c r="R24" s="68">
        <v>1.01</v>
      </c>
      <c r="S24" s="68">
        <v>1.03</v>
      </c>
      <c r="T24" s="68">
        <v>1.4</v>
      </c>
      <c r="U24" s="68"/>
      <c r="V24" s="68">
        <f>HLOOKUP(P1,P4:U24,21)</f>
        <v>1.03</v>
      </c>
      <c r="W24" s="68"/>
      <c r="X24" s="16"/>
    </row>
    <row r="25" spans="2:24" ht="17.25" x14ac:dyDescent="0.15">
      <c r="B25" s="163" t="s">
        <v>65</v>
      </c>
      <c r="C25" s="164"/>
      <c r="D25" s="51" t="s">
        <v>50</v>
      </c>
      <c r="E25" s="65">
        <v>12</v>
      </c>
      <c r="F25" s="46" t="s">
        <v>46</v>
      </c>
      <c r="G25" s="66">
        <f>V18</f>
        <v>250</v>
      </c>
      <c r="H25" s="20"/>
      <c r="I25" s="65">
        <f>G25</f>
        <v>250</v>
      </c>
      <c r="J25" s="57">
        <v>94.2</v>
      </c>
      <c r="K25" s="59">
        <f>V36</f>
        <v>4.55</v>
      </c>
      <c r="L25" s="65">
        <v>4</v>
      </c>
      <c r="M25" s="61">
        <f t="shared" si="0"/>
        <v>18.2</v>
      </c>
      <c r="N25" s="49"/>
      <c r="O25" s="38" t="s">
        <v>63</v>
      </c>
      <c r="P25" s="70">
        <v>1.28</v>
      </c>
      <c r="Q25" s="68">
        <v>1.08</v>
      </c>
      <c r="R25" s="68">
        <v>1.54</v>
      </c>
      <c r="S25" s="68">
        <v>1.66</v>
      </c>
      <c r="T25" s="68">
        <v>1.7</v>
      </c>
      <c r="U25" s="68"/>
      <c r="V25" s="68">
        <f>HLOOKUP(P1,P4:U25,22)</f>
        <v>1.66</v>
      </c>
      <c r="W25" s="68"/>
      <c r="X25" s="16"/>
    </row>
    <row r="26" spans="2:24" ht="17.25" x14ac:dyDescent="0.15">
      <c r="B26" s="163" t="s">
        <v>66</v>
      </c>
      <c r="C26" s="164"/>
      <c r="D26" s="51" t="s">
        <v>50</v>
      </c>
      <c r="E26" s="57">
        <v>3.2</v>
      </c>
      <c r="F26" s="46" t="s">
        <v>46</v>
      </c>
      <c r="G26" s="66">
        <f>V28</f>
        <v>394</v>
      </c>
      <c r="H26" s="46" t="s">
        <v>57</v>
      </c>
      <c r="I26" s="71" t="s">
        <v>47</v>
      </c>
      <c r="J26" s="59">
        <v>25.12</v>
      </c>
      <c r="K26" s="59">
        <f>V29</f>
        <v>3.06</v>
      </c>
      <c r="L26" s="65">
        <v>1</v>
      </c>
      <c r="M26" s="61">
        <f t="shared" si="0"/>
        <v>3.06</v>
      </c>
      <c r="N26" s="49"/>
      <c r="O26" s="38" t="s">
        <v>67</v>
      </c>
      <c r="P26" s="43">
        <v>192</v>
      </c>
      <c r="Q26" s="44">
        <v>167</v>
      </c>
      <c r="R26" s="44">
        <v>141</v>
      </c>
      <c r="S26" s="44">
        <v>148</v>
      </c>
      <c r="T26" s="44">
        <v>147</v>
      </c>
      <c r="U26" s="44"/>
      <c r="V26" s="44">
        <f>HLOOKUP(P1,P4:U26,23)</f>
        <v>148</v>
      </c>
      <c r="W26" s="68"/>
      <c r="X26" s="16"/>
    </row>
    <row r="27" spans="2:24" ht="17.25" x14ac:dyDescent="0.15">
      <c r="B27" s="163" t="s">
        <v>68</v>
      </c>
      <c r="C27" s="164"/>
      <c r="D27" s="51" t="s">
        <v>50</v>
      </c>
      <c r="E27" s="57">
        <v>4.5</v>
      </c>
      <c r="F27" s="46" t="s">
        <v>46</v>
      </c>
      <c r="G27" s="66">
        <f>V30</f>
        <v>376</v>
      </c>
      <c r="H27" s="46" t="s">
        <v>57</v>
      </c>
      <c r="I27" s="71" t="s">
        <v>1</v>
      </c>
      <c r="J27" s="59">
        <v>35.33</v>
      </c>
      <c r="K27" s="59">
        <f>V31</f>
        <v>3.92</v>
      </c>
      <c r="L27" s="65">
        <v>1</v>
      </c>
      <c r="M27" s="61">
        <f t="shared" si="0"/>
        <v>3.92</v>
      </c>
      <c r="N27" s="49"/>
      <c r="O27" s="38" t="s">
        <v>63</v>
      </c>
      <c r="P27" s="70">
        <v>2.54</v>
      </c>
      <c r="Q27" s="68">
        <v>2.2200000000000002</v>
      </c>
      <c r="R27" s="68">
        <v>1.8</v>
      </c>
      <c r="S27" s="68">
        <v>1.98</v>
      </c>
      <c r="T27" s="68">
        <v>1.9</v>
      </c>
      <c r="U27" s="68"/>
      <c r="V27" s="68">
        <f>HLOOKUP(P1,P4:U27,24)</f>
        <v>1.98</v>
      </c>
      <c r="W27" s="68"/>
      <c r="X27" s="16"/>
    </row>
    <row r="28" spans="2:24" ht="17.25" x14ac:dyDescent="0.15">
      <c r="B28" s="163" t="s">
        <v>69</v>
      </c>
      <c r="C28" s="164"/>
      <c r="D28" s="51" t="s">
        <v>50</v>
      </c>
      <c r="E28" s="57">
        <v>4.5</v>
      </c>
      <c r="F28" s="46" t="s">
        <v>46</v>
      </c>
      <c r="G28" s="66">
        <v>50</v>
      </c>
      <c r="H28" s="46" t="s">
        <v>47</v>
      </c>
      <c r="I28" s="65">
        <v>50</v>
      </c>
      <c r="J28" s="59">
        <v>35.33</v>
      </c>
      <c r="K28" s="59">
        <v>0.09</v>
      </c>
      <c r="L28" s="65">
        <v>4</v>
      </c>
      <c r="M28" s="61">
        <f t="shared" si="0"/>
        <v>0.36</v>
      </c>
      <c r="N28" s="49"/>
      <c r="O28" s="38" t="s">
        <v>70</v>
      </c>
      <c r="P28" s="43">
        <v>266</v>
      </c>
      <c r="Q28" s="44">
        <v>312</v>
      </c>
      <c r="R28" s="44">
        <v>359</v>
      </c>
      <c r="S28" s="44">
        <v>394</v>
      </c>
      <c r="T28" s="44">
        <v>444</v>
      </c>
      <c r="U28" s="44"/>
      <c r="V28" s="44">
        <f>HLOOKUP(P1,P4:U28,25)</f>
        <v>394</v>
      </c>
      <c r="W28" s="68"/>
      <c r="X28" s="16"/>
    </row>
    <row r="29" spans="2:24" ht="17.25" x14ac:dyDescent="0.15">
      <c r="B29" s="163" t="s">
        <v>71</v>
      </c>
      <c r="C29" s="164"/>
      <c r="D29" s="51" t="s">
        <v>50</v>
      </c>
      <c r="E29" s="57">
        <v>3.2</v>
      </c>
      <c r="F29" s="46" t="s">
        <v>46</v>
      </c>
      <c r="G29" s="66">
        <f>V32</f>
        <v>199</v>
      </c>
      <c r="H29" s="46" t="s">
        <v>57</v>
      </c>
      <c r="I29" s="71" t="s">
        <v>47</v>
      </c>
      <c r="J29" s="59">
        <v>25.12</v>
      </c>
      <c r="K29" s="59">
        <f>V33</f>
        <v>0.78</v>
      </c>
      <c r="L29" s="65">
        <v>4</v>
      </c>
      <c r="M29" s="61">
        <f t="shared" si="0"/>
        <v>3.12</v>
      </c>
      <c r="N29" s="49"/>
      <c r="O29" s="38" t="s">
        <v>63</v>
      </c>
      <c r="P29" s="70">
        <v>1.4</v>
      </c>
      <c r="Q29" s="68">
        <v>1.92</v>
      </c>
      <c r="R29" s="68">
        <v>2.54</v>
      </c>
      <c r="S29" s="68">
        <v>3.06</v>
      </c>
      <c r="T29" s="68">
        <v>3.89</v>
      </c>
      <c r="U29" s="68"/>
      <c r="V29" s="44">
        <f>HLOOKUP(P1,P4:U29,26)</f>
        <v>3.06</v>
      </c>
      <c r="W29" s="68"/>
      <c r="X29" s="16"/>
    </row>
    <row r="30" spans="2:24" ht="17.25" x14ac:dyDescent="0.15">
      <c r="B30" s="163" t="s">
        <v>55</v>
      </c>
      <c r="C30" s="164"/>
      <c r="D30" s="51" t="s">
        <v>73</v>
      </c>
      <c r="E30" s="57" t="str">
        <f>V14</f>
        <v xml:space="preserve">  M22</v>
      </c>
      <c r="F30" s="72" t="s">
        <v>220</v>
      </c>
      <c r="G30" s="73"/>
      <c r="H30" s="46"/>
      <c r="I30" s="65">
        <f>V34</f>
        <v>90</v>
      </c>
      <c r="J30" s="74" t="s">
        <v>47</v>
      </c>
      <c r="K30" s="59">
        <f>V35</f>
        <v>0.48</v>
      </c>
      <c r="L30" s="65">
        <v>16</v>
      </c>
      <c r="M30" s="61">
        <f t="shared" si="0"/>
        <v>7.68</v>
      </c>
      <c r="N30" s="49"/>
      <c r="O30" s="38" t="s">
        <v>74</v>
      </c>
      <c r="P30" s="43">
        <v>236</v>
      </c>
      <c r="Q30" s="44">
        <v>290</v>
      </c>
      <c r="R30" s="44">
        <v>339</v>
      </c>
      <c r="S30" s="44">
        <v>376</v>
      </c>
      <c r="T30" s="44">
        <v>427</v>
      </c>
      <c r="U30" s="44"/>
      <c r="V30" s="44">
        <f>HLOOKUP(P1,P4:U30,27)</f>
        <v>376</v>
      </c>
      <c r="W30" s="68"/>
      <c r="X30" s="16"/>
    </row>
    <row r="31" spans="2:24" ht="17.25" x14ac:dyDescent="0.15">
      <c r="B31" s="163" t="s">
        <v>75</v>
      </c>
      <c r="C31" s="164"/>
      <c r="D31" s="51" t="s">
        <v>50</v>
      </c>
      <c r="E31" s="75" t="s">
        <v>76</v>
      </c>
      <c r="F31" s="72" t="s">
        <v>1</v>
      </c>
      <c r="G31" s="76" t="s">
        <v>50</v>
      </c>
      <c r="H31" s="72" t="s">
        <v>1</v>
      </c>
      <c r="I31" s="65">
        <v>65</v>
      </c>
      <c r="J31" s="77"/>
      <c r="K31" s="59">
        <v>0.2</v>
      </c>
      <c r="L31" s="65">
        <v>8</v>
      </c>
      <c r="M31" s="61">
        <f t="shared" si="0"/>
        <v>1.6</v>
      </c>
      <c r="N31" s="49"/>
      <c r="O31" s="38" t="s">
        <v>63</v>
      </c>
      <c r="P31" s="70">
        <v>1.55</v>
      </c>
      <c r="Q31" s="68">
        <v>2.33</v>
      </c>
      <c r="R31" s="68">
        <v>3.19</v>
      </c>
      <c r="S31" s="68">
        <v>3.92</v>
      </c>
      <c r="T31" s="68">
        <v>5.0599999999999996</v>
      </c>
      <c r="U31" s="68"/>
      <c r="V31" s="44">
        <f>HLOOKUP(P1,P4:U31,28)</f>
        <v>3.92</v>
      </c>
      <c r="W31" s="68"/>
      <c r="X31" s="16"/>
    </row>
    <row r="32" spans="2:24" ht="17.25" x14ac:dyDescent="0.15">
      <c r="B32" s="163" t="s">
        <v>77</v>
      </c>
      <c r="C32" s="164"/>
      <c r="D32" s="51" t="s">
        <v>78</v>
      </c>
      <c r="E32" s="75" t="s">
        <v>79</v>
      </c>
      <c r="F32" s="18"/>
      <c r="G32" s="78"/>
      <c r="H32" s="18"/>
      <c r="I32" s="65">
        <v>25</v>
      </c>
      <c r="J32" s="77"/>
      <c r="K32" s="59">
        <v>0.01</v>
      </c>
      <c r="L32" s="65">
        <v>4</v>
      </c>
      <c r="M32" s="61">
        <f t="shared" si="0"/>
        <v>0.04</v>
      </c>
      <c r="N32" s="49"/>
      <c r="O32" s="38" t="s">
        <v>80</v>
      </c>
      <c r="P32" s="43">
        <v>128</v>
      </c>
      <c r="Q32" s="44">
        <v>151</v>
      </c>
      <c r="R32" s="44">
        <v>175</v>
      </c>
      <c r="S32" s="44">
        <v>199</v>
      </c>
      <c r="T32" s="44">
        <v>224</v>
      </c>
      <c r="U32" s="44"/>
      <c r="V32" s="44">
        <f>HLOOKUP(P1,P4:U32,29)</f>
        <v>199</v>
      </c>
      <c r="W32" s="68"/>
      <c r="X32" s="16"/>
    </row>
    <row r="33" spans="2:27" ht="17.25" x14ac:dyDescent="0.15">
      <c r="B33" s="45"/>
      <c r="C33" s="20"/>
      <c r="D33" s="79"/>
      <c r="E33" s="65"/>
      <c r="F33" s="20"/>
      <c r="G33" s="66"/>
      <c r="H33" s="20"/>
      <c r="I33" s="65"/>
      <c r="J33" s="59"/>
      <c r="K33" s="59"/>
      <c r="L33" s="71" t="s">
        <v>1</v>
      </c>
      <c r="M33" s="80" t="s">
        <v>1</v>
      </c>
      <c r="N33" s="49"/>
      <c r="O33" s="38" t="s">
        <v>63</v>
      </c>
      <c r="P33" s="70">
        <v>0.32</v>
      </c>
      <c r="Q33" s="68">
        <v>0.45</v>
      </c>
      <c r="R33" s="68">
        <v>0.6</v>
      </c>
      <c r="S33" s="68">
        <v>0.78</v>
      </c>
      <c r="T33" s="68">
        <v>0.99</v>
      </c>
      <c r="U33" s="68"/>
      <c r="V33" s="44">
        <f>HLOOKUP(P1,P4:U33,30)</f>
        <v>0.78</v>
      </c>
      <c r="W33" s="8"/>
      <c r="X33" s="16"/>
    </row>
    <row r="34" spans="2:27" ht="17.25" x14ac:dyDescent="0.15">
      <c r="B34" s="81"/>
      <c r="C34" s="18"/>
      <c r="D34" s="82"/>
      <c r="E34" s="81"/>
      <c r="F34" s="18"/>
      <c r="G34" s="18"/>
      <c r="H34" s="18"/>
      <c r="I34" s="83"/>
      <c r="J34" s="77"/>
      <c r="K34" s="77"/>
      <c r="L34" s="83"/>
      <c r="M34" s="84"/>
      <c r="N34" s="49"/>
      <c r="O34" s="38" t="s">
        <v>39</v>
      </c>
      <c r="P34" s="43">
        <v>70</v>
      </c>
      <c r="Q34" s="44">
        <v>85</v>
      </c>
      <c r="R34" s="44">
        <v>85</v>
      </c>
      <c r="S34" s="44">
        <v>90</v>
      </c>
      <c r="T34" s="44">
        <v>120</v>
      </c>
      <c r="U34" s="44"/>
      <c r="V34" s="44">
        <f>HLOOKUP(P1,P4:U34,31)</f>
        <v>90</v>
      </c>
      <c r="W34" s="8"/>
      <c r="X34" s="16"/>
    </row>
    <row r="35" spans="2:27" ht="17.25" x14ac:dyDescent="0.15">
      <c r="B35" s="81"/>
      <c r="C35" s="18"/>
      <c r="D35" s="82"/>
      <c r="E35" s="85"/>
      <c r="F35" s="18"/>
      <c r="G35" s="86"/>
      <c r="H35" s="18"/>
      <c r="I35" s="81"/>
      <c r="J35" s="77"/>
      <c r="K35" s="77"/>
      <c r="L35" s="83"/>
      <c r="M35" s="87"/>
      <c r="N35" s="49"/>
      <c r="O35" s="38" t="s">
        <v>63</v>
      </c>
      <c r="P35" s="70">
        <v>0.21</v>
      </c>
      <c r="Q35" s="68">
        <v>0.39</v>
      </c>
      <c r="R35" s="68">
        <v>0.39</v>
      </c>
      <c r="S35" s="68">
        <v>0.48</v>
      </c>
      <c r="T35" s="68">
        <v>0.99</v>
      </c>
      <c r="U35" s="8"/>
      <c r="V35" s="68">
        <f>HLOOKUP(P1,P4:U35,32)</f>
        <v>0.48</v>
      </c>
      <c r="W35" s="8"/>
      <c r="X35" s="16"/>
    </row>
    <row r="36" spans="2:27" ht="17.25" x14ac:dyDescent="0.2">
      <c r="B36" s="81"/>
      <c r="C36" s="18"/>
      <c r="D36" s="82"/>
      <c r="E36" s="85"/>
      <c r="F36" s="18"/>
      <c r="G36" s="86"/>
      <c r="H36" s="18"/>
      <c r="I36" s="83"/>
      <c r="J36" s="77"/>
      <c r="K36" s="77"/>
      <c r="L36" s="83"/>
      <c r="M36" s="61">
        <f>SUM(M15:M35)</f>
        <v>1000.1099999999999</v>
      </c>
      <c r="N36" s="49"/>
      <c r="O36" s="38" t="s">
        <v>81</v>
      </c>
      <c r="P36" s="8">
        <v>3.28</v>
      </c>
      <c r="Q36" s="8">
        <v>3.05</v>
      </c>
      <c r="R36" s="8">
        <v>4.88</v>
      </c>
      <c r="S36" s="8">
        <v>4.55</v>
      </c>
      <c r="T36" s="8">
        <v>4.55</v>
      </c>
      <c r="U36" s="8"/>
      <c r="V36" s="68">
        <f>HLOOKUP(P1,P4:U36,33)</f>
        <v>4.55</v>
      </c>
      <c r="W36" s="8"/>
      <c r="X36" s="89"/>
      <c r="Y36" s="90"/>
      <c r="Z36" s="90"/>
      <c r="AA36" s="89"/>
    </row>
    <row r="37" spans="2:27" ht="17.25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O37" s="38" t="s">
        <v>23</v>
      </c>
      <c r="P37" s="53" t="s">
        <v>82</v>
      </c>
      <c r="Q37" s="54" t="s">
        <v>83</v>
      </c>
      <c r="R37" s="54" t="s">
        <v>84</v>
      </c>
      <c r="S37" s="54" t="s">
        <v>84</v>
      </c>
      <c r="T37" s="54" t="s">
        <v>85</v>
      </c>
      <c r="U37" s="8"/>
      <c r="V37" s="55" t="str">
        <f>HLOOKUP(P1,P4:U37,34)</f>
        <v>　M33</v>
      </c>
      <c r="W37" s="8"/>
      <c r="X37" s="91"/>
      <c r="Y37" s="92"/>
      <c r="Z37" s="92"/>
      <c r="AA37" s="93"/>
    </row>
    <row r="38" spans="2:27" ht="17.25" x14ac:dyDescent="0.2">
      <c r="B38" s="36"/>
      <c r="D38" s="94"/>
      <c r="E38" s="95"/>
      <c r="F38" s="36"/>
      <c r="G38" s="96"/>
      <c r="H38" s="36"/>
      <c r="I38" s="97"/>
      <c r="J38" s="98"/>
      <c r="K38" s="98"/>
      <c r="L38" s="97"/>
      <c r="M38" s="98"/>
      <c r="O38" s="38" t="s">
        <v>86</v>
      </c>
      <c r="P38" s="99">
        <v>700</v>
      </c>
      <c r="Q38" s="55">
        <v>850</v>
      </c>
      <c r="R38" s="55">
        <v>1000</v>
      </c>
      <c r="S38" s="55">
        <v>1000</v>
      </c>
      <c r="T38" s="55">
        <v>1000</v>
      </c>
      <c r="U38" s="8"/>
      <c r="V38" s="44">
        <f>HLOOKUP(P1,P4:U38,35)</f>
        <v>1000</v>
      </c>
      <c r="W38" s="8"/>
      <c r="X38" s="91"/>
      <c r="Y38" s="92"/>
      <c r="Z38" s="92"/>
      <c r="AA38" s="93"/>
    </row>
    <row r="39" spans="2:27" ht="17.25" x14ac:dyDescent="0.15">
      <c r="B39" s="36"/>
      <c r="C39" s="36"/>
      <c r="D39" s="36"/>
      <c r="E39" s="96"/>
      <c r="F39" s="36"/>
      <c r="G39" s="96"/>
      <c r="H39" s="36"/>
      <c r="I39" s="97"/>
      <c r="J39" s="98"/>
      <c r="K39" s="98"/>
      <c r="L39" s="97"/>
      <c r="M39" s="98"/>
      <c r="O39" s="38" t="s">
        <v>87</v>
      </c>
      <c r="P39" s="70">
        <v>2.09</v>
      </c>
      <c r="Q39" s="68">
        <v>3.82</v>
      </c>
      <c r="R39" s="68">
        <v>6.71</v>
      </c>
      <c r="S39" s="68">
        <v>6.71</v>
      </c>
      <c r="T39" s="68">
        <v>7.99</v>
      </c>
      <c r="U39" s="68"/>
      <c r="V39" s="68">
        <f>HLOOKUP(P1,P4:U39,36)</f>
        <v>6.71</v>
      </c>
      <c r="W39" s="68"/>
      <c r="X39" s="100"/>
      <c r="Y39" s="92"/>
      <c r="Z39" s="92"/>
      <c r="AA39" s="93"/>
    </row>
    <row r="40" spans="2:27" ht="17.25" customHeight="1" x14ac:dyDescent="0.15">
      <c r="B40" s="18"/>
      <c r="C40" s="18"/>
      <c r="D40" s="46" t="s">
        <v>88</v>
      </c>
      <c r="E40" s="21"/>
      <c r="F40" s="20"/>
      <c r="G40" s="21"/>
      <c r="H40" s="20"/>
      <c r="I40" s="66" t="str">
        <f>V45</f>
        <v>(6-M33×1000)</v>
      </c>
      <c r="J40" s="101"/>
      <c r="K40" s="102"/>
      <c r="L40" s="78"/>
      <c r="M40" s="103" t="s">
        <v>1</v>
      </c>
      <c r="O40" s="38" t="s">
        <v>89</v>
      </c>
      <c r="P40" s="99">
        <v>525</v>
      </c>
      <c r="Q40" s="55">
        <v>525</v>
      </c>
      <c r="R40" s="55">
        <v>525</v>
      </c>
      <c r="S40" s="55">
        <v>575</v>
      </c>
      <c r="T40" s="55">
        <v>625</v>
      </c>
      <c r="U40" s="8"/>
      <c r="V40" s="44">
        <f>HLOOKUP(P1,P4:U40,37)</f>
        <v>575</v>
      </c>
      <c r="W40" s="8"/>
      <c r="X40" s="100"/>
      <c r="Y40" s="92"/>
      <c r="Z40" s="92"/>
      <c r="AA40" s="93"/>
    </row>
    <row r="41" spans="2:27" ht="17.25" customHeight="1" x14ac:dyDescent="0.15">
      <c r="B41" s="165" t="s">
        <v>90</v>
      </c>
      <c r="C41" s="166"/>
      <c r="D41" s="164"/>
      <c r="E41" s="65"/>
      <c r="F41" s="46" t="s">
        <v>91</v>
      </c>
      <c r="G41" s="66"/>
      <c r="H41" s="20"/>
      <c r="I41" s="66"/>
      <c r="J41" s="74" t="s">
        <v>92</v>
      </c>
      <c r="K41" s="101"/>
      <c r="L41" s="71" t="s">
        <v>93</v>
      </c>
      <c r="M41" s="104" t="s">
        <v>94</v>
      </c>
      <c r="N41" s="49"/>
      <c r="O41" s="38" t="s">
        <v>87</v>
      </c>
      <c r="P41" s="70">
        <v>1.85</v>
      </c>
      <c r="Q41" s="68">
        <v>1.85</v>
      </c>
      <c r="R41" s="68">
        <v>1.85</v>
      </c>
      <c r="S41" s="68">
        <v>2.0299999999999998</v>
      </c>
      <c r="T41" s="68">
        <v>2.21</v>
      </c>
      <c r="U41" s="8"/>
      <c r="V41" s="68">
        <f>HLOOKUP(P1,P4:U41,38)</f>
        <v>2.0299999999999998</v>
      </c>
      <c r="W41" s="8"/>
      <c r="X41" s="100"/>
      <c r="Y41" s="92"/>
      <c r="Z41" s="92"/>
      <c r="AA41" s="93"/>
    </row>
    <row r="42" spans="2:27" ht="17.25" customHeight="1" x14ac:dyDescent="0.15">
      <c r="B42" s="165" t="s">
        <v>167</v>
      </c>
      <c r="C42" s="166"/>
      <c r="D42" s="164"/>
      <c r="E42" s="65" t="str">
        <f>V37</f>
        <v>　M33</v>
      </c>
      <c r="F42" s="46" t="s">
        <v>46</v>
      </c>
      <c r="G42" s="66">
        <f>V38</f>
        <v>1000</v>
      </c>
      <c r="H42" s="20"/>
      <c r="I42" s="66"/>
      <c r="J42" s="59">
        <f>V39</f>
        <v>6.71</v>
      </c>
      <c r="K42" s="103" t="s">
        <v>95</v>
      </c>
      <c r="L42" s="65">
        <v>6</v>
      </c>
      <c r="M42" s="61">
        <f t="shared" ref="M42:M47" si="1">ROUND(J42*L42,2)</f>
        <v>40.26</v>
      </c>
      <c r="N42" s="49"/>
      <c r="O42" s="38" t="s">
        <v>96</v>
      </c>
      <c r="P42" s="53" t="s">
        <v>97</v>
      </c>
      <c r="Q42" s="54" t="s">
        <v>98</v>
      </c>
      <c r="R42" s="54" t="s">
        <v>99</v>
      </c>
      <c r="S42" s="54" t="s">
        <v>99</v>
      </c>
      <c r="T42" s="54" t="s">
        <v>100</v>
      </c>
      <c r="U42" s="8"/>
      <c r="V42" s="44" t="str">
        <f>HLOOKUP(P1,P4:U42,39)</f>
        <v>M33</v>
      </c>
      <c r="W42" s="8"/>
      <c r="X42" s="100"/>
      <c r="Y42" s="92"/>
      <c r="Z42" s="92"/>
      <c r="AA42" s="93"/>
    </row>
    <row r="43" spans="2:27" ht="17.25" customHeight="1" x14ac:dyDescent="0.15">
      <c r="B43" s="165" t="s">
        <v>101</v>
      </c>
      <c r="C43" s="166"/>
      <c r="D43" s="164"/>
      <c r="E43" s="65">
        <v>75</v>
      </c>
      <c r="F43" s="46" t="s">
        <v>46</v>
      </c>
      <c r="G43" s="66">
        <v>6</v>
      </c>
      <c r="H43" s="46" t="s">
        <v>46</v>
      </c>
      <c r="I43" s="66">
        <f>V40</f>
        <v>575</v>
      </c>
      <c r="J43" s="59">
        <f>V41</f>
        <v>2.0299999999999998</v>
      </c>
      <c r="K43" s="103" t="s">
        <v>102</v>
      </c>
      <c r="L43" s="65">
        <v>8</v>
      </c>
      <c r="M43" s="61">
        <f t="shared" si="1"/>
        <v>16.239999999999998</v>
      </c>
      <c r="N43" s="49"/>
      <c r="O43" s="38" t="s">
        <v>87</v>
      </c>
      <c r="P43" s="105">
        <v>7.5999999999999998E-2</v>
      </c>
      <c r="Q43" s="50">
        <v>0.161</v>
      </c>
      <c r="R43" s="50">
        <v>0.28000000000000003</v>
      </c>
      <c r="S43" s="50">
        <v>0.28000000000000003</v>
      </c>
      <c r="T43" s="50">
        <v>0.38400000000000001</v>
      </c>
      <c r="U43" s="50"/>
      <c r="V43" s="50">
        <f>HLOOKUP(P1,P4:U43,40)</f>
        <v>0.28000000000000003</v>
      </c>
      <c r="W43" s="50"/>
      <c r="X43" s="16"/>
      <c r="Y43" s="92"/>
      <c r="Z43" s="92"/>
      <c r="AA43" s="93"/>
    </row>
    <row r="44" spans="2:27" ht="17.25" customHeight="1" x14ac:dyDescent="0.15">
      <c r="B44" s="165" t="s">
        <v>103</v>
      </c>
      <c r="C44" s="166"/>
      <c r="D44" s="164"/>
      <c r="E44" s="71" t="s">
        <v>104</v>
      </c>
      <c r="F44" s="46"/>
      <c r="G44" s="66"/>
      <c r="H44" s="47" t="str">
        <f>V42</f>
        <v>M33</v>
      </c>
      <c r="I44" s="66"/>
      <c r="J44" s="106">
        <f>V43</f>
        <v>0.28000000000000003</v>
      </c>
      <c r="K44" s="103" t="s">
        <v>105</v>
      </c>
      <c r="L44" s="65">
        <v>12</v>
      </c>
      <c r="M44" s="61">
        <f t="shared" si="1"/>
        <v>3.36</v>
      </c>
      <c r="N44" s="49"/>
      <c r="O44" s="38" t="s">
        <v>106</v>
      </c>
      <c r="P44" s="105">
        <v>2.7E-2</v>
      </c>
      <c r="Q44" s="50">
        <v>4.7E-2</v>
      </c>
      <c r="R44" s="50">
        <v>8.5000000000000006E-2</v>
      </c>
      <c r="S44" s="50">
        <v>8.5000000000000006E-2</v>
      </c>
      <c r="T44" s="50">
        <v>0.105</v>
      </c>
      <c r="U44" s="50"/>
      <c r="V44" s="50">
        <f>HLOOKUP(P1,P4:U44,41)</f>
        <v>8.5000000000000006E-2</v>
      </c>
      <c r="W44" s="50"/>
      <c r="X44" s="16"/>
      <c r="Y44" s="92"/>
      <c r="Z44" s="92"/>
      <c r="AA44" s="93"/>
    </row>
    <row r="45" spans="2:27" ht="17.25" customHeight="1" x14ac:dyDescent="0.15">
      <c r="B45" s="165" t="s">
        <v>215</v>
      </c>
      <c r="C45" s="166"/>
      <c r="D45" s="164"/>
      <c r="E45" s="71" t="s">
        <v>104</v>
      </c>
      <c r="F45" s="46"/>
      <c r="G45" s="66"/>
      <c r="H45" s="66" t="str">
        <f>V42</f>
        <v>M33</v>
      </c>
      <c r="I45" s="66"/>
      <c r="J45" s="106">
        <f>V48</f>
        <v>0.28699999999999998</v>
      </c>
      <c r="K45" s="103" t="s">
        <v>105</v>
      </c>
      <c r="L45" s="65">
        <v>6</v>
      </c>
      <c r="M45" s="61">
        <f t="shared" si="1"/>
        <v>1.72</v>
      </c>
      <c r="N45" s="49"/>
      <c r="P45" s="107" t="s">
        <v>107</v>
      </c>
      <c r="Q45" s="108" t="s">
        <v>108</v>
      </c>
      <c r="R45" s="108" t="s">
        <v>109</v>
      </c>
      <c r="S45" s="108" t="s">
        <v>109</v>
      </c>
      <c r="T45" s="108" t="s">
        <v>110</v>
      </c>
      <c r="U45" s="8"/>
      <c r="V45" s="55" t="str">
        <f>HLOOKUP(P1,P4:U45,42)</f>
        <v>(6-M33×1000)</v>
      </c>
      <c r="W45" s="8"/>
      <c r="X45" s="16"/>
    </row>
    <row r="46" spans="2:27" ht="17.25" customHeight="1" x14ac:dyDescent="0.15">
      <c r="B46" s="163" t="s">
        <v>216</v>
      </c>
      <c r="C46" s="166"/>
      <c r="D46" s="164"/>
      <c r="E46" s="65" t="str">
        <f>V37</f>
        <v>　M33</v>
      </c>
      <c r="F46" s="20"/>
      <c r="G46" s="66"/>
      <c r="H46" s="20"/>
      <c r="I46" s="66"/>
      <c r="J46" s="106">
        <f>V44</f>
        <v>8.5000000000000006E-2</v>
      </c>
      <c r="K46" s="103" t="s">
        <v>102</v>
      </c>
      <c r="L46" s="65">
        <v>6</v>
      </c>
      <c r="M46" s="61">
        <f t="shared" si="1"/>
        <v>0.51</v>
      </c>
      <c r="N46" s="49"/>
    </row>
    <row r="47" spans="2:27" ht="17.25" customHeight="1" x14ac:dyDescent="0.15">
      <c r="B47" s="163" t="s">
        <v>217</v>
      </c>
      <c r="C47" s="166"/>
      <c r="D47" s="164"/>
      <c r="E47" s="65" t="str">
        <f>V37</f>
        <v>　M33</v>
      </c>
      <c r="F47" s="20"/>
      <c r="G47" s="66"/>
      <c r="H47" s="20"/>
      <c r="I47" s="66"/>
      <c r="J47" s="106">
        <f>V49</f>
        <v>8.1000000000000003E-2</v>
      </c>
      <c r="K47" s="103" t="s">
        <v>102</v>
      </c>
      <c r="L47" s="65">
        <v>6</v>
      </c>
      <c r="M47" s="61">
        <f t="shared" si="1"/>
        <v>0.49</v>
      </c>
      <c r="O47" s="1" t="s">
        <v>111</v>
      </c>
      <c r="P47" s="1">
        <v>55.82</v>
      </c>
      <c r="Q47" s="1">
        <v>59.63</v>
      </c>
      <c r="R47" s="1">
        <v>61.62</v>
      </c>
      <c r="S47" s="1">
        <v>81.180000000000007</v>
      </c>
      <c r="T47" s="1">
        <v>90.5</v>
      </c>
      <c r="V47" s="68">
        <f>HLOOKUP(P1,P4:U47,44)</f>
        <v>81.180000000000007</v>
      </c>
    </row>
    <row r="48" spans="2:27" ht="17.25" customHeight="1" x14ac:dyDescent="0.15">
      <c r="B48" s="45"/>
      <c r="C48" s="20"/>
      <c r="D48" s="20"/>
      <c r="E48" s="66"/>
      <c r="F48" s="20"/>
      <c r="G48" s="66"/>
      <c r="H48" s="20"/>
      <c r="I48" s="66"/>
      <c r="J48" s="101"/>
      <c r="K48" s="101"/>
      <c r="L48" s="66"/>
      <c r="M48" s="61">
        <f>SUM(M42:M47)</f>
        <v>62.58</v>
      </c>
      <c r="O48" s="151" t="s">
        <v>218</v>
      </c>
      <c r="P48" s="1">
        <v>7.3999999999999996E-2</v>
      </c>
      <c r="Q48" s="1">
        <v>0.159</v>
      </c>
      <c r="R48" s="1">
        <v>0.28699999999999998</v>
      </c>
      <c r="S48" s="1">
        <v>0.28699999999999998</v>
      </c>
      <c r="T48" s="1">
        <v>0.39300000000000002</v>
      </c>
      <c r="V48" s="50">
        <f>HLOOKUP(P1,P4:U48,45)</f>
        <v>0.28699999999999998</v>
      </c>
    </row>
    <row r="49" spans="3:25" ht="17.25" customHeight="1" x14ac:dyDescent="0.15">
      <c r="O49" s="151" t="s">
        <v>219</v>
      </c>
      <c r="P49" s="1">
        <v>1.9E-2</v>
      </c>
      <c r="Q49" s="1">
        <v>4.4999999999999998E-2</v>
      </c>
      <c r="R49" s="1">
        <v>8.1000000000000003E-2</v>
      </c>
      <c r="S49" s="1">
        <v>8.1000000000000003E-2</v>
      </c>
      <c r="T49" s="1">
        <v>0.10299999999999999</v>
      </c>
      <c r="V49" s="50">
        <f>HLOOKUP(P1,P4:U49,46)</f>
        <v>8.1000000000000003E-2</v>
      </c>
    </row>
    <row r="50" spans="3:25" ht="17.25" customHeight="1" x14ac:dyDescent="0.15">
      <c r="C50" s="109" t="s">
        <v>112</v>
      </c>
      <c r="D50" s="110" t="s">
        <v>113</v>
      </c>
      <c r="E50" s="167" t="s">
        <v>114</v>
      </c>
      <c r="F50" s="168"/>
      <c r="G50" s="168"/>
      <c r="H50" s="169"/>
      <c r="I50" s="111" t="s">
        <v>115</v>
      </c>
      <c r="J50" s="170" t="s">
        <v>116</v>
      </c>
      <c r="K50" s="171"/>
      <c r="R50" s="38" t="s">
        <v>117</v>
      </c>
      <c r="S50" s="8"/>
      <c r="T50" s="8"/>
      <c r="U50" s="8"/>
      <c r="V50" s="8"/>
    </row>
    <row r="51" spans="3:25" ht="17.25" customHeight="1" x14ac:dyDescent="0.15">
      <c r="C51" s="112">
        <f>E15</f>
        <v>355.6</v>
      </c>
      <c r="D51" s="133" t="str">
        <f>HLOOKUP(E15,P74:T76,2)</f>
        <v>M33*1000</v>
      </c>
      <c r="E51" s="161" t="str">
        <f>HLOOKUP(E15,P74:V76,3)</f>
        <v>1.4*1.4*2.5</v>
      </c>
      <c r="F51" s="162"/>
      <c r="G51" s="162"/>
      <c r="H51" s="111"/>
      <c r="I51" s="146">
        <f>ROUND(IF(D4="","",D4/0.3+1+0.49),0)*4</f>
        <v>32</v>
      </c>
      <c r="J51" s="147">
        <f>D4-0.02</f>
        <v>1.98</v>
      </c>
      <c r="K51" s="111" t="s">
        <v>214</v>
      </c>
      <c r="S51" s="114" t="s">
        <v>118</v>
      </c>
      <c r="T51" s="8"/>
      <c r="U51" s="114" t="s">
        <v>119</v>
      </c>
      <c r="V51" s="8"/>
      <c r="W51" s="16"/>
    </row>
    <row r="52" spans="3:25" ht="17.25" customHeight="1" x14ac:dyDescent="0.15">
      <c r="S52" s="114" t="s">
        <v>120</v>
      </c>
      <c r="T52" s="8"/>
      <c r="U52" s="99">
        <f>V30</f>
        <v>376</v>
      </c>
      <c r="V52" s="9" t="s">
        <v>121</v>
      </c>
      <c r="W52" s="16"/>
    </row>
    <row r="53" spans="3:25" ht="17.25" customHeight="1" x14ac:dyDescent="0.15">
      <c r="E53" s="160" t="s">
        <v>186</v>
      </c>
      <c r="F53" s="160"/>
      <c r="G53" s="160"/>
      <c r="H53" s="160"/>
      <c r="I53" s="160" t="s">
        <v>192</v>
      </c>
      <c r="J53" s="160"/>
      <c r="K53" s="160"/>
      <c r="S53" s="114" t="s">
        <v>122</v>
      </c>
      <c r="T53" s="8"/>
      <c r="U53" s="99">
        <f>IF(X53&gt;10,X53,Y53)</f>
        <v>24.2</v>
      </c>
      <c r="V53" s="9" t="s">
        <v>123</v>
      </c>
      <c r="W53" s="16"/>
      <c r="X53" s="2">
        <f>ROUND(0.02466*V7*(V6-V7),1)</f>
        <v>24.2</v>
      </c>
      <c r="Y53" s="92">
        <f>ROUND(0.02466*V7*(V6-V7),2)</f>
        <v>24.23</v>
      </c>
    </row>
    <row r="54" spans="3:25" ht="17.25" customHeight="1" x14ac:dyDescent="0.15">
      <c r="E54" s="160"/>
      <c r="F54" s="160"/>
      <c r="G54" s="160"/>
      <c r="H54" s="160"/>
      <c r="I54" s="138" t="s">
        <v>193</v>
      </c>
      <c r="J54" s="138" t="s">
        <v>194</v>
      </c>
      <c r="K54" s="138" t="s">
        <v>195</v>
      </c>
      <c r="S54" s="114" t="s">
        <v>124</v>
      </c>
      <c r="T54" s="8"/>
      <c r="U54" s="99">
        <f>IF(X54&gt;10,X54,Y54)</f>
        <v>15</v>
      </c>
      <c r="V54" s="9" t="s">
        <v>123</v>
      </c>
      <c r="W54" s="16"/>
      <c r="X54" s="2">
        <f>ROUND(0.02466*V9*(V8-V9),1)</f>
        <v>15</v>
      </c>
      <c r="Y54" s="92">
        <f>ROUND(0.02466*V9*(V8-V9),2)</f>
        <v>15.01</v>
      </c>
    </row>
    <row r="55" spans="3:25" ht="17.25" customHeight="1" x14ac:dyDescent="0.15">
      <c r="E55" s="172" t="str">
        <f>HLOOKUP(P77,P74:V81,5)</f>
        <v>1.4*3.9*1..0</v>
      </c>
      <c r="F55" s="172"/>
      <c r="G55" s="172"/>
      <c r="H55" s="172"/>
      <c r="I55" s="138">
        <f>HLOOKUP(P77,P74:V81,6)</f>
        <v>4</v>
      </c>
      <c r="J55" s="138">
        <f>HLOOKUP(P77,P74:V81,7)</f>
        <v>529</v>
      </c>
      <c r="K55" s="138">
        <f>HLOOKUP(P77,P74:V81,8)</f>
        <v>7</v>
      </c>
      <c r="S55" s="114" t="s">
        <v>125</v>
      </c>
      <c r="T55" s="8"/>
      <c r="U55" s="99">
        <f>IF(X55&gt;10,X55,Y55)</f>
        <v>67.7</v>
      </c>
      <c r="V55" s="9" t="s">
        <v>123</v>
      </c>
      <c r="W55" s="16"/>
      <c r="X55" s="2">
        <f>ROUND(0.02466*V5*(V4-V5),1)</f>
        <v>67.7</v>
      </c>
      <c r="Y55" s="92">
        <f>ROUND(0.02466*V5*(V4-V5),2)</f>
        <v>67.739999999999995</v>
      </c>
    </row>
    <row r="56" spans="3:25" ht="17.25" customHeight="1" x14ac:dyDescent="0.15">
      <c r="S56" s="114" t="s">
        <v>1</v>
      </c>
      <c r="T56" s="8"/>
      <c r="U56" s="115" t="s">
        <v>1</v>
      </c>
      <c r="V56" s="9" t="s">
        <v>1</v>
      </c>
      <c r="W56" s="16"/>
    </row>
    <row r="57" spans="3:25" ht="17.25" customHeight="1" x14ac:dyDescent="0.15">
      <c r="S57" s="114" t="s">
        <v>47</v>
      </c>
      <c r="T57" s="8"/>
      <c r="U57" s="114" t="s">
        <v>1</v>
      </c>
      <c r="V57" s="9" t="s">
        <v>1</v>
      </c>
      <c r="W57" s="16"/>
    </row>
    <row r="58" spans="3:25" ht="17.25" customHeight="1" x14ac:dyDescent="0.15"/>
    <row r="59" spans="3:25" ht="17.25" customHeight="1" x14ac:dyDescent="0.15"/>
    <row r="60" spans="3:25" ht="17.25" customHeight="1" x14ac:dyDescent="0.15">
      <c r="P60" s="116">
        <v>216.3</v>
      </c>
      <c r="Q60" s="117">
        <v>267.39999999999998</v>
      </c>
      <c r="R60" s="117">
        <v>318.5</v>
      </c>
      <c r="S60" s="117">
        <v>355.6</v>
      </c>
      <c r="T60" s="118">
        <v>406.4</v>
      </c>
    </row>
    <row r="61" spans="3:25" ht="17.25" customHeight="1" x14ac:dyDescent="0.15">
      <c r="O61" s="1" t="s">
        <v>126</v>
      </c>
      <c r="P61" s="1">
        <f>5000+(I5+D6+D4/2)*1000+200+I6*1000</f>
        <v>7000</v>
      </c>
      <c r="Q61" s="1">
        <f>5000+(I5+D6+D4/2)*1000+200+I6*1000</f>
        <v>7000</v>
      </c>
      <c r="R61" s="1">
        <f>5000+(I5+D6+D4/2)*1000+250+I6*1000</f>
        <v>7050</v>
      </c>
      <c r="S61" s="1">
        <f>5000+(I5+D6+D4/2)*1000+250+I6*1000</f>
        <v>7050</v>
      </c>
      <c r="T61" s="1">
        <f>5000+(I5+D6+D4/2)*1000+300+I6*1000</f>
        <v>7100</v>
      </c>
    </row>
    <row r="63" spans="3:25" x14ac:dyDescent="0.15">
      <c r="P63" s="116">
        <v>216.3</v>
      </c>
      <c r="Q63" s="117">
        <v>267.39999999999998</v>
      </c>
      <c r="R63" s="117">
        <v>318.5</v>
      </c>
      <c r="S63" s="117">
        <v>355.6</v>
      </c>
      <c r="T63" s="118">
        <v>406.4</v>
      </c>
    </row>
    <row r="64" spans="3:25" x14ac:dyDescent="0.15">
      <c r="O64" s="1" t="s">
        <v>127</v>
      </c>
      <c r="P64" s="1">
        <f>D5*1000+2500-150+190</f>
        <v>5540</v>
      </c>
      <c r="Q64" s="1">
        <f>D5*1000+2500-150+230</f>
        <v>5580</v>
      </c>
      <c r="R64" s="1">
        <f>D5*1000+2500-150+270</f>
        <v>5620</v>
      </c>
      <c r="S64" s="1">
        <f>D5*1000+2500-150+300</f>
        <v>5650</v>
      </c>
      <c r="T64" s="1">
        <f>D5*1000+2500-150+340</f>
        <v>5690</v>
      </c>
    </row>
    <row r="66" spans="15:26" x14ac:dyDescent="0.15">
      <c r="P66" s="116">
        <v>216.3</v>
      </c>
      <c r="Q66" s="117">
        <v>267.39999999999998</v>
      </c>
      <c r="R66" s="117">
        <v>318.5</v>
      </c>
      <c r="S66" s="117">
        <v>355.6</v>
      </c>
      <c r="T66" s="118">
        <v>406.4</v>
      </c>
    </row>
    <row r="67" spans="15:26" x14ac:dyDescent="0.15">
      <c r="O67" s="1" t="s">
        <v>128</v>
      </c>
      <c r="P67" s="1">
        <v>83</v>
      </c>
      <c r="Q67" s="1">
        <v>74</v>
      </c>
      <c r="R67" s="1">
        <v>87</v>
      </c>
      <c r="S67" s="1">
        <v>95</v>
      </c>
      <c r="T67" s="1">
        <v>82</v>
      </c>
    </row>
    <row r="69" spans="15:26" x14ac:dyDescent="0.15">
      <c r="P69" s="116">
        <v>216.3</v>
      </c>
      <c r="Q69" s="117">
        <v>267.39999999999998</v>
      </c>
      <c r="R69" s="117">
        <v>318.5</v>
      </c>
      <c r="S69" s="117">
        <v>355.6</v>
      </c>
      <c r="T69" s="118">
        <v>406.4</v>
      </c>
    </row>
    <row r="70" spans="15:26" x14ac:dyDescent="0.15">
      <c r="O70" s="1" t="s">
        <v>129</v>
      </c>
      <c r="P70" s="119">
        <v>28</v>
      </c>
      <c r="Q70" s="1">
        <v>38</v>
      </c>
      <c r="R70" s="1">
        <v>55</v>
      </c>
      <c r="S70" s="1">
        <v>57</v>
      </c>
      <c r="T70" s="119">
        <v>66</v>
      </c>
    </row>
    <row r="72" spans="15:26" x14ac:dyDescent="0.15">
      <c r="O72" s="1" t="s">
        <v>130</v>
      </c>
      <c r="P72" s="116">
        <v>216.3</v>
      </c>
      <c r="Q72" s="117">
        <v>267.39999999999998</v>
      </c>
      <c r="R72" s="117">
        <v>318.5</v>
      </c>
      <c r="S72" s="117">
        <v>355.6</v>
      </c>
      <c r="T72" s="118">
        <v>406.4</v>
      </c>
    </row>
    <row r="73" spans="15:26" x14ac:dyDescent="0.15">
      <c r="P73" s="119">
        <v>60.8</v>
      </c>
      <c r="Q73" s="1">
        <v>70.83</v>
      </c>
      <c r="R73" s="1">
        <v>88.43</v>
      </c>
      <c r="S73" s="1">
        <v>108.56</v>
      </c>
      <c r="T73" s="119">
        <v>148.22999999999999</v>
      </c>
    </row>
    <row r="74" spans="15:26" x14ac:dyDescent="0.15">
      <c r="P74" s="116">
        <v>216.3</v>
      </c>
      <c r="Q74" s="117">
        <v>267.39999999999998</v>
      </c>
      <c r="R74" s="117">
        <v>318.5</v>
      </c>
      <c r="S74" s="117">
        <v>355.6</v>
      </c>
      <c r="T74" s="118">
        <v>406.4</v>
      </c>
      <c r="U74" s="134">
        <v>406.42</v>
      </c>
      <c r="V74" s="134">
        <v>406.43</v>
      </c>
    </row>
    <row r="75" spans="15:26" x14ac:dyDescent="0.15">
      <c r="P75" s="1" t="s">
        <v>131</v>
      </c>
      <c r="Q75" s="1" t="s">
        <v>132</v>
      </c>
      <c r="R75" s="1" t="s">
        <v>133</v>
      </c>
      <c r="S75" s="1" t="s">
        <v>133</v>
      </c>
      <c r="T75" s="1" t="s">
        <v>134</v>
      </c>
    </row>
    <row r="76" spans="15:26" x14ac:dyDescent="0.15">
      <c r="P76" s="119" t="s">
        <v>135</v>
      </c>
      <c r="Q76" s="1" t="s">
        <v>136</v>
      </c>
      <c r="R76" s="120" t="s">
        <v>137</v>
      </c>
      <c r="S76" s="1" t="s">
        <v>138</v>
      </c>
      <c r="T76" s="1" t="s">
        <v>139</v>
      </c>
    </row>
    <row r="77" spans="15:26" x14ac:dyDescent="0.15">
      <c r="P77" s="92">
        <f>IF(D7&lt;=2.5,IF(D8&lt;2.5,216.3,267.4),Q77)</f>
        <v>355.6</v>
      </c>
      <c r="Q77" s="3">
        <f>IF(D7&lt;=3.5,IF(D8&lt;2.5,267.4,318.5),R77)</f>
        <v>355.6</v>
      </c>
      <c r="R77" s="3">
        <f>IF(D7&lt;=5,IF(D8&lt;2,318.5,355.6),S77)</f>
        <v>355.6</v>
      </c>
      <c r="S77" s="3">
        <f>IF(D7&lt;=6.5,355.6,T77)</f>
        <v>355.6</v>
      </c>
      <c r="T77" s="3">
        <f>IF(D7&lt;=7.5,IF(D8&lt;2,355.6,406.4),U77)</f>
        <v>355.6</v>
      </c>
      <c r="U77" s="3">
        <f>IF(D7&lt;=9.5,406.42,V77)</f>
        <v>406.42</v>
      </c>
      <c r="V77" s="3">
        <f>IF(D7&lt;=10.5,IF(D8&lt;1.5,406.43,508),508)</f>
        <v>508</v>
      </c>
      <c r="Z77" s="2"/>
    </row>
    <row r="78" spans="15:26" x14ac:dyDescent="0.15">
      <c r="P78" s="1" t="s">
        <v>190</v>
      </c>
      <c r="Q78" s="1" t="s">
        <v>208</v>
      </c>
      <c r="R78" s="1" t="s">
        <v>209</v>
      </c>
      <c r="S78" s="1" t="s">
        <v>210</v>
      </c>
      <c r="T78" s="1" t="s">
        <v>211</v>
      </c>
      <c r="U78" s="1" t="s">
        <v>212</v>
      </c>
      <c r="V78" s="1" t="s">
        <v>213</v>
      </c>
    </row>
    <row r="79" spans="15:26" x14ac:dyDescent="0.15">
      <c r="P79" s="1">
        <v>3</v>
      </c>
      <c r="Q79" s="1" t="s">
        <v>196</v>
      </c>
      <c r="R79" s="1">
        <v>3</v>
      </c>
      <c r="S79" s="1">
        <v>4</v>
      </c>
      <c r="T79" s="1">
        <v>4</v>
      </c>
      <c r="U79" s="1">
        <v>4</v>
      </c>
      <c r="V79" s="1">
        <v>4</v>
      </c>
    </row>
    <row r="80" spans="15:26" x14ac:dyDescent="0.15">
      <c r="P80" s="1">
        <v>520</v>
      </c>
      <c r="Q80" s="1" t="s">
        <v>196</v>
      </c>
      <c r="R80" s="1">
        <v>517</v>
      </c>
      <c r="S80" s="1">
        <v>529</v>
      </c>
      <c r="T80" s="1">
        <v>500</v>
      </c>
      <c r="U80" s="1">
        <v>522</v>
      </c>
      <c r="V80" s="1">
        <v>510</v>
      </c>
    </row>
    <row r="81" spans="16:22" x14ac:dyDescent="0.15">
      <c r="P81" s="1">
        <v>5</v>
      </c>
      <c r="Q81" s="1" t="s">
        <v>196</v>
      </c>
      <c r="R81" s="1">
        <v>6</v>
      </c>
      <c r="S81" s="1">
        <v>7</v>
      </c>
      <c r="T81" s="1">
        <v>7</v>
      </c>
      <c r="U81" s="1">
        <v>9</v>
      </c>
      <c r="V81" s="1">
        <v>10</v>
      </c>
    </row>
  </sheetData>
  <sheetProtection password="CF7A" sheet="1" objects="1" scenarios="1" selectLockedCells="1"/>
  <mergeCells count="36">
    <mergeCell ref="B26:C26"/>
    <mergeCell ref="E51:G51"/>
    <mergeCell ref="B28:C28"/>
    <mergeCell ref="B29:C29"/>
    <mergeCell ref="B30:C30"/>
    <mergeCell ref="B31:C31"/>
    <mergeCell ref="B32:C32"/>
    <mergeCell ref="B41:D41"/>
    <mergeCell ref="B42:D42"/>
    <mergeCell ref="B43:D43"/>
    <mergeCell ref="B44:D44"/>
    <mergeCell ref="B46:D46"/>
    <mergeCell ref="E50:H50"/>
    <mergeCell ref="B45:D45"/>
    <mergeCell ref="B47:D47"/>
    <mergeCell ref="D3:E3"/>
    <mergeCell ref="G9:H9"/>
    <mergeCell ref="G10:H10"/>
    <mergeCell ref="G11:H11"/>
    <mergeCell ref="B14:C14"/>
    <mergeCell ref="J50:K50"/>
    <mergeCell ref="E53:H54"/>
    <mergeCell ref="I53:K53"/>
    <mergeCell ref="E55:H55"/>
    <mergeCell ref="B15:C15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phoneticPr fontId="2"/>
  <dataValidations count="2">
    <dataValidation type="textLength" allowBlank="1" showInputMessage="1" showErrorMessage="1" sqref="D6:D7 D65542:D65543 D131078:D131079 D196614:D196615 D262150:D262151 D327686:D327687 D393222:D393223 D458758:D458759 D524294:D524295 D589830:D589831 D655366:D655367 D720902:D720903 D786438:D786439 D851974:D851975 D917510:D917511 D983046:D983047 F983047 N65537:AA65602 N131073:AA131138 N196609:AA196674 N262145:AA262210 N327681:AA327746 N393217:AA393282 N458753:AA458818 N524289:AA524354 N589825:AA589890 N655361:AA655426 N720897:AA720962 N786433:AA786498 N851969:AA852034 N917505:AA917570 N983041:AA983106 B65544:M65586 B131080:M131122 B196616:M196658 B262152:M262194 B327688:M327730 B393224:M393266 B458760:M458802 B524296:M524338 B589832:M589874 B655368:M655410 B720904:M720946 B786440:M786482 B851976:M852018 B917512:M917554 B983048:M983090 F65543 F131079 F196615 F262151 F327687 F393223 F458759 F524295 F589831 F655367 F720903 F786439 F851975 F917511 P65:T66 Z2:Z66 AA1:AA66 O50:O66 P50:T63 Y1:Y66 J32:K41 Y77 B49:B50 L8:L12 AA77 E50:G50 H50:J51 C50:D51 M8:M41 L14:L41 L49:M50 B48:D48 V48:V49 F31:H41 I8:I9 N1:N66 O1:O47 X3:X66 E31:E41 U50:W66 I32:I41 P36:W47 J8:K30 I11:I30 B8:D41 E8:E29 G23:G29 F8:F29 H8:H29 G8:G18 P3:S33 U3:W33 T3:T18 T26:T33">
      <formula1>5</formula1>
      <formula2>6</formula2>
    </dataValidation>
    <dataValidation type="decimal" allowBlank="1" showInputMessage="1" showErrorMessage="1" sqref="D4 D65540 D131076 D196612 D262148 D327684 D393220 D458756 D524292 D589828 D655364 D720900 D786436 D851972 D917508 D983044">
      <formula1>1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F1(張出1.0m)</vt:lpstr>
      <vt:lpstr>F2(張出1.0m)</vt:lpstr>
      <vt:lpstr>F1(張出2.5m)</vt:lpstr>
      <vt:lpstr>F2(張出2.5m)</vt:lpstr>
      <vt:lpstr>'F1(張出1.0m)'!Print_Area</vt:lpstr>
      <vt:lpstr>'F1(張出2.5m)'!Print_Area</vt:lpstr>
      <vt:lpstr>'F2(張出1.0m)'!Print_Area</vt:lpstr>
      <vt:lpstr>'F2(張出2.5m)'!Print_Area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toa-tatematu2</dc:creator>
  <cp:lastModifiedBy>1356</cp:lastModifiedBy>
  <cp:lastPrinted>2018-06-11T05:37:10Z</cp:lastPrinted>
  <dcterms:created xsi:type="dcterms:W3CDTF">2017-04-13T08:28:25Z</dcterms:created>
  <dcterms:modified xsi:type="dcterms:W3CDTF">2018-07-09T01:40:04Z</dcterms:modified>
</cp:coreProperties>
</file>